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4000" windowHeight="9465" activeTab="0"/>
  </bookViews>
  <sheets>
    <sheet name="литература" sheetId="1" r:id="rId1"/>
    <sheet name="Немецкий язык" sheetId="2" r:id="rId2"/>
    <sheet name="английский язык" sheetId="3" r:id="rId3"/>
    <sheet name="география" sheetId="4" r:id="rId4"/>
    <sheet name="биология" sheetId="5" r:id="rId5"/>
    <sheet name="химия" sheetId="6" r:id="rId6"/>
    <sheet name="ИКТ" sheetId="7" r:id="rId7"/>
    <sheet name="история" sheetId="8" r:id="rId8"/>
    <sheet name="обществознан." sheetId="9" r:id="rId9"/>
    <sheet name="физика" sheetId="10" r:id="rId10"/>
    <sheet name="математика профиль" sheetId="11" r:id="rId11"/>
    <sheet name="Математика База" sheetId="12" r:id="rId12"/>
    <sheet name="русский язык" sheetId="13" r:id="rId13"/>
  </sheets>
  <definedNames>
    <definedName name="_xlnm.Print_Area" localSheetId="2">'английский язык'!$A$1:$U$38</definedName>
    <definedName name="_xlnm.Print_Area" localSheetId="3">'география'!$A$1:$U$60</definedName>
    <definedName name="_xlnm.Print_Area" localSheetId="6">'ИКТ'!$A$1:$U$49</definedName>
    <definedName name="_xlnm.Print_Area" localSheetId="7">'история'!$A$1:$S$48</definedName>
    <definedName name="_xlnm.Print_Area" localSheetId="0">'литература'!$A$1:$S$58</definedName>
    <definedName name="_xlnm.Print_Area" localSheetId="11">'Математика База'!$A$1:$AC$62</definedName>
    <definedName name="_xlnm.Print_Area" localSheetId="10">'математика профиль'!$A$1:$Y$36</definedName>
    <definedName name="_xlnm.Print_Area" localSheetId="8">'обществознан.'!$A$1:$V$60</definedName>
    <definedName name="_xlnm.Print_Area" localSheetId="12">'русский язык'!$A$1:$Y$127</definedName>
    <definedName name="_xlnm.Print_Area" localSheetId="9">'физика'!$A$1:$S$59</definedName>
    <definedName name="_xlnm.Print_Area" localSheetId="5">'химия'!$A$1:$U$58</definedName>
  </definedNames>
  <calcPr fullCalcOnLoad="1"/>
</workbook>
</file>

<file path=xl/sharedStrings.xml><?xml version="1.0" encoding="utf-8"?>
<sst xmlns="http://schemas.openxmlformats.org/spreadsheetml/2006/main" count="2117" uniqueCount="293">
  <si>
    <t>СОШ  №1</t>
  </si>
  <si>
    <t>СОШ № 2</t>
  </si>
  <si>
    <t>СОШ № 3</t>
  </si>
  <si>
    <t>СОШ № 6</t>
  </si>
  <si>
    <t>Загривская 
СОШ</t>
  </si>
  <si>
    <t>Старопольская 
СОШ</t>
  </si>
  <si>
    <t>РАЙОН</t>
  </si>
  <si>
    <t>Участники экзамена</t>
  </si>
  <si>
    <t>чел.</t>
  </si>
  <si>
    <t>Не преодолели минимальный порог в основной день сдачи</t>
  </si>
  <si>
    <t>% от участников экзамена</t>
  </si>
  <si>
    <t>% от числа обучающихся 11 кл., допущенных к ЕГЭ</t>
  </si>
  <si>
    <t xml:space="preserve">% от числа обучающихся, изучающих предмет на профильном уроыне </t>
  </si>
  <si>
    <t>Эффективность профильного обучения</t>
  </si>
  <si>
    <t>участники экзамена, изучавшие предмет на профильном уровне/ чел.</t>
  </si>
  <si>
    <t>средний балл участников экзамена, изучавших предмет на профильном уровне</t>
  </si>
  <si>
    <t>"5"</t>
  </si>
  <si>
    <t>% от числа участников</t>
  </si>
  <si>
    <t>"4"</t>
  </si>
  <si>
    <t>"3"</t>
  </si>
  <si>
    <t>Средний первичный балл</t>
  </si>
  <si>
    <t>Средняя оценка</t>
  </si>
  <si>
    <t>ЛО</t>
  </si>
  <si>
    <t>СОШ № 1</t>
  </si>
  <si>
    <t>Результат 80-100</t>
  </si>
  <si>
    <t>% от участников</t>
  </si>
  <si>
    <t>% выполнения по ФИПИ</t>
  </si>
  <si>
    <t>СОШ №3</t>
  </si>
  <si>
    <t>СОШ№6</t>
  </si>
  <si>
    <t>Загривская СОШ</t>
  </si>
  <si>
    <t>№ задания</t>
  </si>
  <si>
    <t>проверяемые элементы содержания</t>
  </si>
  <si>
    <t>меньше 50%</t>
  </si>
  <si>
    <t>более 70 %</t>
  </si>
  <si>
    <t>от 50%до 70%</t>
  </si>
  <si>
    <t>проверяемые требования (умения)</t>
  </si>
  <si>
    <t xml:space="preserve">Результат выше среднеобластного </t>
  </si>
  <si>
    <t>11 класс</t>
  </si>
  <si>
    <t>12 класс</t>
  </si>
  <si>
    <t>Средний тестовый балл</t>
  </si>
  <si>
    <r>
      <t xml:space="preserve">Доля участников, Результат </t>
    </r>
    <r>
      <rPr>
        <b/>
        <sz val="11"/>
        <color indexed="8"/>
        <rFont val="Calibri"/>
        <family val="2"/>
      </rPr>
      <t>80-100 тестовых баллов</t>
    </r>
    <r>
      <rPr>
        <sz val="11"/>
        <color theme="1"/>
        <rFont val="Calibri"/>
        <family val="2"/>
      </rPr>
      <t xml:space="preserve">
</t>
    </r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</si>
  <si>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(57 первичных баллов)</t>
    </r>
  </si>
  <si>
    <r>
      <t xml:space="preserve">Доля участников, результат </t>
    </r>
    <r>
      <rPr>
        <b/>
        <sz val="11"/>
        <color indexed="8"/>
        <rFont val="Calibri"/>
        <family val="2"/>
      </rPr>
      <t>менее 36 тестовых баллов</t>
    </r>
  </si>
  <si>
    <t>% выполнения работы от максимального первичного балла
(20 первичных баллов)</t>
  </si>
  <si>
    <t>"2" в основной день экзамена</t>
  </si>
  <si>
    <r>
      <t xml:space="preserve">Получили 
</t>
    </r>
    <r>
      <rPr>
        <b/>
        <sz val="11"/>
        <color indexed="8"/>
        <rFont val="Calibri"/>
        <family val="2"/>
      </rPr>
      <t>18-20 первичных балла</t>
    </r>
  </si>
  <si>
    <r>
      <t xml:space="preserve">Получили
</t>
    </r>
    <r>
      <rPr>
        <b/>
        <sz val="11"/>
        <color indexed="8"/>
        <rFont val="Calibri"/>
        <family val="2"/>
      </rPr>
      <t>20 первичных баллов</t>
    </r>
  </si>
  <si>
    <t xml:space="preserve">Средний тестовый балл </t>
  </si>
  <si>
    <r>
      <t>% выполенения  от максимального первичного балла -</t>
    </r>
    <r>
      <rPr>
        <b/>
        <sz val="11"/>
        <color indexed="8"/>
        <rFont val="Calibri"/>
        <family val="2"/>
      </rPr>
      <t>32</t>
    </r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</si>
  <si>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( 62 первичных баллов)</t>
    </r>
  </si>
  <si>
    <t>Средний  тестовыйбалл</t>
  </si>
  <si>
    <t>Средний первиичный балл</t>
  </si>
  <si>
    <t>Средний  тестовый балл</t>
  </si>
  <si>
    <t>Средницй первичный балл</t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</si>
  <si>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(53 первичных баллов</t>
    </r>
    <r>
      <rPr>
        <sz val="11"/>
        <color theme="1"/>
        <rFont val="Calibri"/>
        <family val="2"/>
      </rPr>
      <t>)</t>
    </r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</si>
  <si>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(35 первичных баллов)</t>
    </r>
  </si>
  <si>
    <t>Средний тестовыйбалл</t>
  </si>
  <si>
    <t xml:space="preserve">Средний первичный балл </t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</si>
  <si>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(61 первичный балл)</t>
    </r>
  </si>
  <si>
    <t>Средний первичный</t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</si>
  <si>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(100 первичных баллов)</t>
    </r>
  </si>
  <si>
    <t xml:space="preserve">% выполнения работы по максимальному первичному баллу </t>
  </si>
  <si>
    <r>
      <rPr>
        <b/>
        <sz val="11"/>
        <color indexed="8"/>
        <rFont val="Calibri"/>
        <family val="2"/>
      </rPr>
      <t>(42 первичных баллов</t>
    </r>
    <r>
      <rPr>
        <sz val="11"/>
        <color theme="1"/>
        <rFont val="Calibri"/>
        <family val="2"/>
      </rPr>
      <t>)</t>
    </r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</si>
  <si>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(47 первичных баллов)</t>
    </r>
  </si>
  <si>
    <t>% выполенения  от максимального первичного балла -50</t>
  </si>
  <si>
    <t>% выполенения  от максимального первичного балла -64</t>
  </si>
  <si>
    <t>до 60 баллов</t>
  </si>
  <si>
    <t>61-80</t>
  </si>
  <si>
    <t>81-100</t>
  </si>
  <si>
    <t xml:space="preserve"> до 60</t>
  </si>
  <si>
    <t>Содержание задания</t>
  </si>
  <si>
    <t>Информационная обработка письменных текстов различных стилей и жанров.</t>
  </si>
  <si>
    <t>Средства связи предложений в тексте.</t>
  </si>
  <si>
    <t>Лексическое значение слова.</t>
  </si>
  <si>
    <t>Орфоэпические нормы (постановка ударения).</t>
  </si>
  <si>
    <t>Лексические нормы (употребление слова в соответствии с точным лексическим значением и требованием лексической сочетаемости).</t>
  </si>
  <si>
    <t>Морфологические нормы (образование форм слова).</t>
  </si>
  <si>
    <t>Синтаксические нормы. Нормы согласования. Нормы управления.</t>
  </si>
  <si>
    <t>Правописание корней.</t>
  </si>
  <si>
    <t>Правописание приставок.</t>
  </si>
  <si>
    <t>Правописание суффиксов различных частей речи (кроме -Н-/-НН-).</t>
  </si>
  <si>
    <t>Правописание гласной в причастии и глаголе</t>
  </si>
  <si>
    <t>Правописание НЕ и НИ.</t>
  </si>
  <si>
    <t>Слитное, дефисное, раздельное написание слов.</t>
  </si>
  <si>
    <t>Правописание -Н- и -НН- в различных частях речи.</t>
  </si>
  <si>
    <t>Знаки препинания в простом осложнѐнном предложении (с однородными членами). Пунктуация в сложносочинѐнном предложении и простом предложении с однородными членами.</t>
  </si>
  <si>
    <t>Знаки препинания в предложениях с обособленными членами (определениями, обстоятельствами, приложениями, дополнениями).</t>
  </si>
  <si>
    <t>Знаки препинания в предложении с обособленными членами (вводными словами и вводными конструкциями)</t>
  </si>
  <si>
    <t>Знаки препинания в сложноподчинѐнном предложении.</t>
  </si>
  <si>
    <t>Знаки препинания в сложном предложении с разными видами связи</t>
  </si>
  <si>
    <t>Текст как речевое произведение. Смысловая и композиционная</t>
  </si>
  <si>
    <t>Лексическое значение слова. Синонимы. Антонимы. Омонимы. Фразеологические обороты. Группы слов по происхождению и употреблению.</t>
  </si>
  <si>
    <t>Речь. Языковые средства выразительности.</t>
  </si>
  <si>
    <t>К1</t>
  </si>
  <si>
    <t>К2</t>
  </si>
  <si>
    <t>К3</t>
  </si>
  <si>
    <t>К4</t>
  </si>
  <si>
    <t>К5</t>
  </si>
  <si>
    <t>К6</t>
  </si>
  <si>
    <t>К7</t>
  </si>
  <si>
    <t>Орфографическая грамотность</t>
  </si>
  <si>
    <t>К8</t>
  </si>
  <si>
    <t>Пунктуационная грамотность</t>
  </si>
  <si>
    <t>К9</t>
  </si>
  <si>
    <t>К10</t>
  </si>
  <si>
    <t>Речевое оформление</t>
  </si>
  <si>
    <t>К11</t>
  </si>
  <si>
    <t>Этическое оформление текста</t>
  </si>
  <si>
    <t>К12</t>
  </si>
  <si>
    <t>Уметь выполнять вычисления и преобразования</t>
  </si>
  <si>
    <t>Уметь использовать  приобретённые знания в практической деятельности и повседневной жизни</t>
  </si>
  <si>
    <t>Уметь решать уравнения и неравенства</t>
  </si>
  <si>
    <t>Уметь строить и исследовать простейшие математические модели</t>
  </si>
  <si>
    <t>Уметь выполнять действия с геометрическими фигурами</t>
  </si>
  <si>
    <t>Уметь выполнять действия с функциями</t>
  </si>
  <si>
    <t>Уметь решать уравнения  и неравенства</t>
  </si>
  <si>
    <t>Уметь использовать приоб-
ретенные знания и умения в
практической деятельности
и повседневной жизни</t>
  </si>
  <si>
    <t>Уметь выполнять действия с
геометрическими фигурами,
координатами и векторами</t>
  </si>
  <si>
    <t>Уметь строить и исследовать
простейшие математические
модели</t>
  </si>
  <si>
    <t>Уметь решать уравнения и
неравенства</t>
  </si>
  <si>
    <t>Уметь выполнять действия с
функциями</t>
  </si>
  <si>
    <t>Уметь выполнять вычисле-
ния и преобразования</t>
  </si>
  <si>
    <t>Сдавали и профиль и базу</t>
  </si>
  <si>
    <t>ФИПИ</t>
  </si>
  <si>
    <t>Условные обозначения</t>
  </si>
  <si>
    <t>% от числа обучающихся 11 кл., принявших участие в экзамене</t>
  </si>
  <si>
    <t>Старопольская СОШ</t>
  </si>
  <si>
    <r>
      <t xml:space="preserve">Результат </t>
    </r>
    <r>
      <rPr>
        <b/>
        <sz val="11"/>
        <color indexed="8"/>
        <rFont val="Calibri"/>
        <family val="2"/>
      </rPr>
      <t>81-100</t>
    </r>
  </si>
  <si>
    <r>
      <t>Результат</t>
    </r>
    <r>
      <rPr>
        <b/>
        <sz val="11"/>
        <color indexed="8"/>
        <rFont val="Calibri"/>
        <family val="2"/>
      </rPr>
      <t xml:space="preserve"> 81-100</t>
    </r>
  </si>
  <si>
    <t>Результат выше среднеобластного 53,03
(ЛО-50%)</t>
  </si>
  <si>
    <t>Результат выше среднеобластного 62,40
(ЛО-53,51%)</t>
  </si>
  <si>
    <t xml:space="preserve">доля участников ЕГЭ, результат выше среднеобластного 71,95 
(ЛО-  46,76%)
</t>
  </si>
  <si>
    <t>Результат выше среднеобластного 63,2 
(ЛО-  48,08%)</t>
  </si>
  <si>
    <t>Результат выше среднеобластного57,45
  (ЛО-  49,26%)</t>
  </si>
  <si>
    <t>Результат выше среднеобластного 60,65
 (ЛО-  54,37%)</t>
  </si>
  <si>
    <t>Результат выше среднеобластного 63,60 
(ЛО -  50,59%)</t>
  </si>
  <si>
    <t>Результат выше среднеобластного 60,09
 (ЛО-  51,0%)</t>
  </si>
  <si>
    <t>Результат выше среднеобластного 61,89 
(ЛО - 49,56%)</t>
  </si>
  <si>
    <t>результаты 2017</t>
  </si>
  <si>
    <t>Результаты ЕГЭ -2018 по математике базового уровня</t>
  </si>
  <si>
    <t>результаты 2018</t>
  </si>
  <si>
    <t>Результаты ЕГЭ -2018 по информатике и ИКТ</t>
  </si>
  <si>
    <t>География 2018</t>
  </si>
  <si>
    <t>Результаты ЕГЭ -2018 по математике (профильный уровень)</t>
  </si>
  <si>
    <t>Результаты ЕГЭ -2018 по истории</t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</si>
  <si>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(55 первичных баллов</t>
    </r>
    <r>
      <rPr>
        <sz val="11"/>
        <color theme="1"/>
        <rFont val="Calibri"/>
        <family val="2"/>
      </rPr>
      <t>)</t>
    </r>
  </si>
  <si>
    <t xml:space="preserve">Результаты ЕГЭ -2018 по химии </t>
  </si>
  <si>
    <t>% выполенения  от максимального первичного балла -60</t>
  </si>
  <si>
    <t>Результаты ЕГЭ -2018 по русскому языку</t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</si>
  <si>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(58 первичных баллов)</t>
    </r>
  </si>
  <si>
    <t>Распределение резульатов ЕГЭ- 2018 по русскому языку по диапазонам тестовых баллов</t>
  </si>
  <si>
    <t>Результаты ЕГЭ -2018 по обществознанию</t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</si>
  <si>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( 64 первичных баллов)</t>
    </r>
  </si>
  <si>
    <r>
      <rPr>
        <b/>
        <sz val="11"/>
        <color indexed="8"/>
        <rFont val="Calibri"/>
        <family val="2"/>
      </rPr>
      <t>(58 первичных баллов</t>
    </r>
    <r>
      <rPr>
        <sz val="11"/>
        <color theme="1"/>
        <rFont val="Calibri"/>
        <family val="2"/>
      </rPr>
      <t>)</t>
    </r>
  </si>
  <si>
    <t xml:space="preserve">Результаты ЕГЭ -2018 по литературе </t>
  </si>
  <si>
    <t xml:space="preserve">Результаты ЕГЭ -2018 по биологии </t>
  </si>
  <si>
    <t xml:space="preserve">Результаты ЕГЭ -2018 по физике </t>
  </si>
  <si>
    <t>Результаты ЕГЭ -2018 по немецкому языку</t>
  </si>
  <si>
    <t>Результаты 2018</t>
  </si>
  <si>
    <t>,</t>
  </si>
  <si>
    <t>Результаты ЕГЭ -2018 по аглийскому языку</t>
  </si>
  <si>
    <t>Результат выше среднеобластного 100
(ЛО-  57,41%)</t>
  </si>
  <si>
    <t>57.41</t>
  </si>
  <si>
    <t xml:space="preserve">Результат выше среднеобластного 61,91
</t>
  </si>
  <si>
    <t>Результат выше среднеобластного 70,39</t>
  </si>
  <si>
    <t xml:space="preserve">Результат выше среднеобластного 65,58
</t>
  </si>
  <si>
    <t xml:space="preserve">Результат выше среднеобластного 62,87
</t>
  </si>
  <si>
    <t xml:space="preserve">Результат выше среднеобластного 63,59
</t>
  </si>
  <si>
    <t xml:space="preserve">Результат выше среднеобластного 59,25
</t>
  </si>
  <si>
    <t>Результат выше среднеобластного 61,67</t>
  </si>
  <si>
    <t>Результат выше среднеобластного 56,45</t>
  </si>
  <si>
    <t xml:space="preserve">% от числа обучающихся, изучающих предмет на профильном уровне </t>
  </si>
  <si>
    <t>2017 год</t>
  </si>
  <si>
    <t>Распределение результатов ЕГЭ -2018 по математике (профиль) по диапазонам тестовых баллов</t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</si>
  <si>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(59 первичный балл)</t>
    </r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</si>
  <si>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(47 первичных баллов)</t>
    </r>
  </si>
  <si>
    <t>Результат 100
(ЛО-  56)</t>
  </si>
  <si>
    <t>Результат  100
(ЛО-  70,39)</t>
  </si>
  <si>
    <t xml:space="preserve">Результат выше среднеобластного 55,31
 </t>
  </si>
  <si>
    <t xml:space="preserve"> </t>
  </si>
  <si>
    <t xml:space="preserve">доля участников ЕГЭ, результат выше среднеобластного 72,74
</t>
  </si>
  <si>
    <t xml:space="preserve">Результат выше среднеобластного 54,92
</t>
  </si>
  <si>
    <t>по    ЛО</t>
  </si>
  <si>
    <t xml:space="preserve">Функционально-смысловые типы речи. </t>
  </si>
  <si>
    <t>Средствва связи предложений в тексте</t>
  </si>
  <si>
    <t>Формулировка проблемы  исходного текста</t>
  </si>
  <si>
    <t>Комментарий к сформулированной проблеме  исходного текста</t>
  </si>
  <si>
    <t>Отражение позиции автора  исходного текста</t>
  </si>
  <si>
    <t>Аргументация экзаменуемым  собственного мнения по проблеме</t>
  </si>
  <si>
    <t>Смысловая  цельность, речевая  связанность и  последовательность  изложения</t>
  </si>
  <si>
    <t>Точность и  выразительность речи</t>
  </si>
  <si>
    <t>Соблюдение  языковых норм  (грамматические ошибки)</t>
  </si>
  <si>
    <t xml:space="preserve">Соблюдение  фактологической  точности  в  фоновом  материале </t>
  </si>
  <si>
    <t>Процент выполнения заданий ЕГЭ- 2018 математики базового уровня</t>
  </si>
  <si>
    <t>результаты 2019</t>
  </si>
  <si>
    <t>Результаты ЕГЭ -2019 по математике базового уровня</t>
  </si>
  <si>
    <t xml:space="preserve">Результаты ЕГЭ -2019 по литературе </t>
  </si>
  <si>
    <t>Результаты ЕГЭ -2019 по математике (профильный уровень)</t>
  </si>
  <si>
    <t xml:space="preserve">Результаты ЕГЭ -2019 по химии </t>
  </si>
  <si>
    <t>Результаты ЕГЭ -2019 по истории</t>
  </si>
  <si>
    <t>Результаты ЕГЭ -2019 по русскому языку</t>
  </si>
  <si>
    <t xml:space="preserve">Результаты ЕГЭ -2019 по физике </t>
  </si>
  <si>
    <t>Результаты ЕГЭ -2019 по аглийскому языку</t>
  </si>
  <si>
    <t xml:space="preserve">Результат выше среднеобластного 62,74
</t>
  </si>
  <si>
    <t xml:space="preserve">доля участников ЕГЭ, результат выше среднеобластного 72,77
</t>
  </si>
  <si>
    <t xml:space="preserve">Результат выше среднеобластного 62,89
</t>
  </si>
  <si>
    <t>Результат выше среднеобластного 60,6</t>
  </si>
  <si>
    <t xml:space="preserve">Результат выше среднеобластного 60,59
</t>
  </si>
  <si>
    <t xml:space="preserve">Результат выше среднеобластного 63,49
</t>
  </si>
  <si>
    <t>Результаты ЕГЭ -2019 по обществознанию</t>
  </si>
  <si>
    <t xml:space="preserve">Результаты ЕГЭ -2019 по биологии </t>
  </si>
  <si>
    <t>Результат 81-100</t>
  </si>
  <si>
    <r>
      <t xml:space="preserve">Доля участников, Результат </t>
    </r>
    <r>
      <rPr>
        <b/>
        <sz val="11"/>
        <color indexed="8"/>
        <rFont val="Calibri"/>
        <family val="2"/>
      </rPr>
      <t>81-100 тестовых баллов</t>
    </r>
    <r>
      <rPr>
        <sz val="11"/>
        <color theme="1"/>
        <rFont val="Calibri"/>
        <family val="2"/>
      </rPr>
      <t xml:space="preserve">
</t>
    </r>
  </si>
  <si>
    <r>
      <t xml:space="preserve">Результат выше среднеобластного </t>
    </r>
    <r>
      <rPr>
        <b/>
        <sz val="11"/>
        <color indexed="8"/>
        <rFont val="Calibri"/>
        <family val="2"/>
      </rPr>
      <t>60</t>
    </r>
  </si>
  <si>
    <t xml:space="preserve">Результат  100
</t>
  </si>
  <si>
    <t>Результат выше среднеобластного 
 57</t>
  </si>
  <si>
    <t>Результат выше среднеобластного 74</t>
  </si>
  <si>
    <t xml:space="preserve">Результат выше среднеобластного 67
</t>
  </si>
  <si>
    <t>Результат от минимального порога   до 60 баллов</t>
  </si>
  <si>
    <t>результат   от  61 до 80 баллов</t>
  </si>
  <si>
    <t>Результат  от  минимального   порога  до  60</t>
  </si>
  <si>
    <t>Результат  от 61 до 80</t>
  </si>
  <si>
    <t>Диапазон результатов  ниже   итоговой  отметки</t>
  </si>
  <si>
    <t>Диапазон   результатов  совпадает с итоговой отметкой</t>
  </si>
  <si>
    <t>Диапазон результатов  выше    итоговой  отметки</t>
  </si>
  <si>
    <t xml:space="preserve">Лексические нормы </t>
  </si>
  <si>
    <t>пунктуационный анализ</t>
  </si>
  <si>
    <t>Результаты ЕГЭ -2019 по информатике и ИКТ</t>
  </si>
  <si>
    <t>результаты 2020</t>
  </si>
  <si>
    <t>Результаты ЕГЭ -2020 по информатике и ИКТ</t>
  </si>
  <si>
    <t xml:space="preserve">Результат выше среднеобластного 
</t>
  </si>
  <si>
    <t>ГЕОГрафия 2019</t>
  </si>
  <si>
    <t>География 2020</t>
  </si>
  <si>
    <t>100 баллов</t>
  </si>
  <si>
    <t xml:space="preserve">Результаты ЕГЭ -2020 по литературе </t>
  </si>
  <si>
    <t>Результаты ЕГЭ -2020 по русскому языку</t>
  </si>
  <si>
    <t>Старопольская  СОШ</t>
  </si>
  <si>
    <t>Старпольская  СОШ</t>
  </si>
  <si>
    <t>Результаты ЕГЭ -2020 по математике (профильный уровень)</t>
  </si>
  <si>
    <t xml:space="preserve">Результаты ЕГЭ -2020 по физике </t>
  </si>
  <si>
    <t>% выполенения  от максимального первичного балла -53</t>
  </si>
  <si>
    <t>Результаты ЕГЭ -2020 по истории</t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</si>
  <si>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(56 первичных баллов</t>
    </r>
    <r>
      <rPr>
        <sz val="11"/>
        <color theme="1"/>
        <rFont val="Calibri"/>
        <family val="2"/>
      </rPr>
      <t>)</t>
    </r>
  </si>
  <si>
    <t xml:space="preserve">Результаты ЕГЭ -2020 по химии </t>
  </si>
  <si>
    <t xml:space="preserve">доля участников ЕГЭ, результат выше среднеобластного 
74,6
</t>
  </si>
  <si>
    <t xml:space="preserve">Результат выше среднеобластного
65,75 
</t>
  </si>
  <si>
    <t>Результат выше среднеобластного 
59,48</t>
  </si>
  <si>
    <t xml:space="preserve">Результат выше среднеобластного
66,24 
</t>
  </si>
  <si>
    <t xml:space="preserve">Результат выше среднеобластного
62,45 </t>
  </si>
  <si>
    <t xml:space="preserve">Результат выше среднеобластного
58,41 </t>
  </si>
  <si>
    <t xml:space="preserve">Результат выше среднеобластного 68,76
</t>
  </si>
  <si>
    <t xml:space="preserve">Результаты ЕГЭ -2020 по биологии </t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</si>
  <si>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(58 первичный балл)</t>
    </r>
  </si>
  <si>
    <t>Результаты ЕГЭ -2020 по аглийскому языку</t>
  </si>
  <si>
    <t>Результаты ЕГЭ -2020 по обществознанию</t>
  </si>
  <si>
    <t xml:space="preserve">Результаты ЕГЭ -2021 по литературе </t>
  </si>
  <si>
    <t>результаты 2021</t>
  </si>
  <si>
    <t>Минимальная граница                        0-34</t>
  </si>
  <si>
    <t xml:space="preserve">Результаты ЕГЭ -2021 по химии </t>
  </si>
  <si>
    <t>Минимальная граница 0-38</t>
  </si>
  <si>
    <t>% выполенения  от максимального первичного балла -58</t>
  </si>
  <si>
    <t>География 2021</t>
  </si>
  <si>
    <t>Минимальная граница 0-39</t>
  </si>
  <si>
    <t xml:space="preserve">Результаты ЕГЭ -2021 по биологии </t>
  </si>
  <si>
    <t>Результаты ЕГЭ -2021 по аглийскому языку</t>
  </si>
  <si>
    <t>Результаты ЕГЭ -2021 по информатике и ИКТ</t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</si>
  <si>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(30 первичных баллов)</t>
    </r>
  </si>
  <si>
    <t>Минимальная граница 0-42</t>
  </si>
  <si>
    <t>Результаты ЕГЭ -2021 по обществознанию</t>
  </si>
  <si>
    <t>Минимальная граница 0-44</t>
  </si>
  <si>
    <t xml:space="preserve">Результаты ЕГЭ -2021 по физике </t>
  </si>
  <si>
    <t>Результаты ЕГЭ -2021 по истории</t>
  </si>
  <si>
    <t>Минимальная граница 0-34</t>
  </si>
  <si>
    <t>Результаты ЕГЭ -2021 по русскому языку</t>
  </si>
  <si>
    <r>
      <t xml:space="preserve">% выполнения работы по максимальному первичному баллу 
</t>
    </r>
    <r>
      <rPr>
        <b/>
        <sz val="11"/>
        <color indexed="8"/>
        <rFont val="Calibri"/>
        <family val="2"/>
      </rPr>
      <t>(59 первичных баллов)</t>
    </r>
  </si>
  <si>
    <r>
      <t xml:space="preserve">Доля участников, результат </t>
    </r>
    <r>
      <rPr>
        <b/>
        <sz val="11"/>
        <color indexed="8"/>
        <rFont val="Calibri"/>
        <family val="2"/>
      </rPr>
      <t>менее 26 тестовых баллов</t>
    </r>
  </si>
  <si>
    <t>Результаты ЕГЭ -2021 по математике (профильный уровень)</t>
  </si>
  <si>
    <t>РФ</t>
  </si>
  <si>
    <t xml:space="preserve">Результат выше среднеобластного 55,08
</t>
  </si>
  <si>
    <t xml:space="preserve">Результат выше среднеобластного  61,83
</t>
  </si>
  <si>
    <t xml:space="preserve">Результат выше среднеобластного             60,14
</t>
  </si>
  <si>
    <t xml:space="preserve">Результат выше среднеобластного  63,58
</t>
  </si>
  <si>
    <t xml:space="preserve">Результат выше среднеобластного  72,92
</t>
  </si>
  <si>
    <t>-</t>
  </si>
  <si>
    <t xml:space="preserve">Результат выше среднеобластного 68,17
</t>
  </si>
  <si>
    <t xml:space="preserve">Результат выше среднеобластного              58,51
</t>
  </si>
  <si>
    <t xml:space="preserve">Результат выше среднеобластного               61,09
</t>
  </si>
  <si>
    <t xml:space="preserve">Результат выше среднеобластного  67,96
</t>
  </si>
  <si>
    <t xml:space="preserve">Результат выше среднеобластного              59,23
</t>
  </si>
  <si>
    <t xml:space="preserve">Результат выше среднеобластного            73,61
</t>
  </si>
  <si>
    <t>Диапазон результатов  соответсвует   итоговой  отметке</t>
  </si>
  <si>
    <t>Процент выполнения заданий ЕГЭ- 2021 математики профильного уровня</t>
  </si>
  <si>
    <t>Процент выполнения заданий  ЕГЭ- 2021 по русскому языку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</si>
</sst>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24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24"/>
      <color theme="1"/>
      <name val="Calibri"/>
      <family val="2"/>
    </font>
    <font>
      <sz val="22"/>
      <color theme="1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6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9" fontId="0" fillId="0" borderId="10" xfId="0" applyNumberFormat="1" applyBorder="1" applyAlignment="1">
      <alignment horizontal="center" vertical="top" wrapText="1"/>
    </xf>
    <xf numFmtId="10" fontId="0" fillId="0" borderId="10" xfId="0" applyNumberFormat="1" applyBorder="1" applyAlignment="1">
      <alignment horizontal="center" vertical="top" wrapText="1"/>
    </xf>
    <xf numFmtId="10" fontId="38" fillId="0" borderId="10" xfId="0" applyNumberFormat="1" applyFont="1" applyBorder="1" applyAlignment="1">
      <alignment horizontal="center" vertical="top" wrapText="1"/>
    </xf>
    <xf numFmtId="9" fontId="38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2" fontId="38" fillId="0" borderId="10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2" fontId="0" fillId="0" borderId="11" xfId="0" applyNumberForma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10" fontId="0" fillId="33" borderId="10" xfId="0" applyNumberForma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10" fontId="48" fillId="33" borderId="10" xfId="0" applyNumberFormat="1" applyFont="1" applyFill="1" applyBorder="1" applyAlignment="1">
      <alignment horizontal="center" vertical="top" wrapText="1"/>
    </xf>
    <xf numFmtId="10" fontId="38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4" borderId="0" xfId="0" applyFill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35" borderId="10" xfId="0" applyFill="1" applyBorder="1" applyAlignment="1">
      <alignment horizontal="center" vertical="top" wrapText="1"/>
    </xf>
    <xf numFmtId="9" fontId="50" fillId="35" borderId="10" xfId="0" applyNumberFormat="1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9" fontId="0" fillId="0" borderId="10" xfId="0" applyNumberFormat="1" applyFill="1" applyBorder="1" applyAlignment="1">
      <alignment horizontal="center" vertical="top" wrapText="1"/>
    </xf>
    <xf numFmtId="10" fontId="0" fillId="0" borderId="10" xfId="0" applyNumberForma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9" fontId="38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9" fontId="0" fillId="35" borderId="10" xfId="0" applyNumberFormat="1" applyFill="1" applyBorder="1" applyAlignment="1">
      <alignment horizontal="center" vertical="top" wrapText="1"/>
    </xf>
    <xf numFmtId="10" fontId="0" fillId="35" borderId="10" xfId="0" applyNumberFormat="1" applyFill="1" applyBorder="1" applyAlignment="1">
      <alignment horizontal="center" vertical="top" wrapText="1"/>
    </xf>
    <xf numFmtId="0" fontId="38" fillId="35" borderId="10" xfId="0" applyFont="1" applyFill="1" applyBorder="1" applyAlignment="1">
      <alignment horizontal="center" vertical="top" wrapText="1"/>
    </xf>
    <xf numFmtId="0" fontId="38" fillId="35" borderId="0" xfId="0" applyFont="1" applyFill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10" fontId="48" fillId="35" borderId="10" xfId="0" applyNumberFormat="1" applyFont="1" applyFill="1" applyBorder="1" applyAlignment="1">
      <alignment horizontal="center" vertical="top" wrapText="1"/>
    </xf>
    <xf numFmtId="174" fontId="0" fillId="0" borderId="0" xfId="0" applyNumberFormat="1" applyAlignment="1">
      <alignment horizontal="center" vertical="top" wrapText="1"/>
    </xf>
    <xf numFmtId="174" fontId="0" fillId="35" borderId="10" xfId="0" applyNumberFormat="1" applyFill="1" applyBorder="1" applyAlignment="1">
      <alignment horizontal="center" vertical="top" wrapText="1"/>
    </xf>
    <xf numFmtId="10" fontId="38" fillId="35" borderId="10" xfId="0" applyNumberFormat="1" applyFont="1" applyFill="1" applyBorder="1" applyAlignment="1">
      <alignment horizontal="center" vertical="top" wrapText="1"/>
    </xf>
    <xf numFmtId="175" fontId="38" fillId="0" borderId="10" xfId="0" applyNumberFormat="1" applyFont="1" applyBorder="1" applyAlignment="1">
      <alignment horizontal="center" vertical="top" wrapText="1"/>
    </xf>
    <xf numFmtId="175" fontId="0" fillId="35" borderId="10" xfId="0" applyNumberFormat="1" applyFill="1" applyBorder="1" applyAlignment="1">
      <alignment horizontal="center" vertical="top" wrapText="1"/>
    </xf>
    <xf numFmtId="175" fontId="0" fillId="0" borderId="0" xfId="0" applyNumberFormat="1" applyAlignment="1">
      <alignment horizontal="center" vertical="top" wrapText="1"/>
    </xf>
    <xf numFmtId="1" fontId="0" fillId="35" borderId="10" xfId="0" applyNumberForma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74" fontId="0" fillId="35" borderId="0" xfId="0" applyNumberFormat="1" applyFill="1" applyAlignment="1">
      <alignment horizontal="center" vertical="top" wrapText="1"/>
    </xf>
    <xf numFmtId="174" fontId="38" fillId="35" borderId="10" xfId="0" applyNumberFormat="1" applyFont="1" applyFill="1" applyBorder="1" applyAlignment="1">
      <alignment horizontal="center" vertical="top" wrapText="1"/>
    </xf>
    <xf numFmtId="174" fontId="48" fillId="35" borderId="10" xfId="0" applyNumberFormat="1" applyFont="1" applyFill="1" applyBorder="1" applyAlignment="1">
      <alignment horizontal="center" vertical="top" wrapText="1"/>
    </xf>
    <xf numFmtId="10" fontId="48" fillId="0" borderId="10" xfId="0" applyNumberFormat="1" applyFont="1" applyFill="1" applyBorder="1" applyAlignment="1">
      <alignment horizontal="center" vertical="top" wrapText="1"/>
    </xf>
    <xf numFmtId="10" fontId="38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38" fillId="0" borderId="0" xfId="0" applyFont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0" fontId="0" fillId="35" borderId="0" xfId="0" applyFill="1" applyAlignment="1">
      <alignment horizontal="left" vertical="top" wrapText="1"/>
    </xf>
    <xf numFmtId="1" fontId="0" fillId="35" borderId="0" xfId="0" applyNumberFormat="1" applyFill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0" fontId="51" fillId="37" borderId="14" xfId="0" applyFont="1" applyFill="1" applyBorder="1" applyAlignment="1">
      <alignment horizontal="center" vertical="center" wrapText="1"/>
    </xf>
    <xf numFmtId="9" fontId="0" fillId="35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74" fontId="0" fillId="33" borderId="10" xfId="0" applyNumberFormat="1" applyFill="1" applyBorder="1" applyAlignment="1">
      <alignment horizontal="center" vertical="top" wrapText="1"/>
    </xf>
    <xf numFmtId="174" fontId="38" fillId="33" borderId="10" xfId="0" applyNumberFormat="1" applyFont="1" applyFill="1" applyBorder="1" applyAlignment="1">
      <alignment horizontal="center" vertical="top" wrapText="1"/>
    </xf>
    <xf numFmtId="0" fontId="38" fillId="0" borderId="15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2" fillId="0" borderId="16" xfId="0" applyFont="1" applyBorder="1" applyAlignment="1">
      <alignment vertical="center" wrapText="1"/>
    </xf>
    <xf numFmtId="0" fontId="0" fillId="34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left" vertical="top" wrapText="1"/>
    </xf>
    <xf numFmtId="0" fontId="53" fillId="0" borderId="16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4" fontId="0" fillId="0" borderId="10" xfId="0" applyNumberFormat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171" fontId="0" fillId="0" borderId="10" xfId="6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4" fontId="38" fillId="0" borderId="0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0" fontId="38" fillId="33" borderId="0" xfId="0" applyFont="1" applyFill="1" applyBorder="1" applyAlignment="1">
      <alignment horizontal="center" vertical="top" wrapText="1"/>
    </xf>
    <xf numFmtId="174" fontId="38" fillId="33" borderId="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9" fontId="38" fillId="0" borderId="0" xfId="0" applyNumberFormat="1" applyFont="1" applyBorder="1" applyAlignment="1">
      <alignment horizontal="center" vertical="top" wrapText="1"/>
    </xf>
    <xf numFmtId="175" fontId="38" fillId="0" borderId="0" xfId="0" applyNumberFormat="1" applyFont="1" applyBorder="1" applyAlignment="1">
      <alignment horizontal="center" vertical="top" wrapText="1"/>
    </xf>
    <xf numFmtId="174" fontId="0" fillId="0" borderId="0" xfId="0" applyNumberFormat="1" applyBorder="1" applyAlignment="1">
      <alignment horizontal="center" vertical="top" wrapText="1"/>
    </xf>
    <xf numFmtId="1" fontId="38" fillId="0" borderId="0" xfId="0" applyNumberFormat="1" applyFont="1" applyBorder="1" applyAlignment="1">
      <alignment horizontal="center" vertical="top" wrapText="1"/>
    </xf>
    <xf numFmtId="0" fontId="38" fillId="35" borderId="0" xfId="0" applyFont="1" applyFill="1" applyBorder="1" applyAlignment="1">
      <alignment horizontal="center" vertical="top" wrapText="1"/>
    </xf>
    <xf numFmtId="10" fontId="38" fillId="35" borderId="0" xfId="0" applyNumberFormat="1" applyFont="1" applyFill="1" applyBorder="1" applyAlignment="1">
      <alignment horizontal="center" vertical="top" wrapText="1"/>
    </xf>
    <xf numFmtId="10" fontId="0" fillId="35" borderId="0" xfId="0" applyNumberFormat="1" applyFill="1" applyBorder="1" applyAlignment="1">
      <alignment horizontal="center" vertical="top" wrapText="1"/>
    </xf>
    <xf numFmtId="175" fontId="38" fillId="35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6" borderId="0" xfId="0" applyFill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0" fontId="38" fillId="35" borderId="19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5" fontId="0" fillId="0" borderId="11" xfId="0" applyNumberFormat="1" applyBorder="1" applyAlignment="1">
      <alignment horizontal="center" vertical="top" wrapText="1"/>
    </xf>
    <xf numFmtId="175" fontId="38" fillId="0" borderId="11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9" fontId="38" fillId="35" borderId="10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right" vertical="top" wrapText="1"/>
    </xf>
    <xf numFmtId="174" fontId="54" fillId="0" borderId="10" xfId="0" applyNumberFormat="1" applyFont="1" applyBorder="1" applyAlignment="1">
      <alignment horizontal="center" vertical="top" wrapText="1"/>
    </xf>
    <xf numFmtId="1" fontId="54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75" fontId="54" fillId="0" borderId="10" xfId="0" applyNumberFormat="1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1" fontId="38" fillId="0" borderId="2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9" fontId="0" fillId="0" borderId="0" xfId="0" applyNumberFormat="1" applyBorder="1" applyAlignment="1">
      <alignment horizontal="center" vertical="top" wrapText="1"/>
    </xf>
    <xf numFmtId="175" fontId="0" fillId="0" borderId="0" xfId="0" applyNumberFormat="1" applyBorder="1" applyAlignment="1">
      <alignment horizontal="center" vertical="top" wrapText="1"/>
    </xf>
    <xf numFmtId="10" fontId="0" fillId="0" borderId="0" xfId="0" applyNumberForma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 wrapText="1"/>
    </xf>
    <xf numFmtId="10" fontId="0" fillId="33" borderId="0" xfId="0" applyNumberFormat="1" applyFill="1" applyBorder="1" applyAlignment="1">
      <alignment horizontal="center" vertical="top" wrapText="1"/>
    </xf>
    <xf numFmtId="174" fontId="0" fillId="35" borderId="0" xfId="0" applyNumberFormat="1" applyFill="1" applyBorder="1" applyAlignment="1">
      <alignment horizontal="center" vertical="top" wrapText="1"/>
    </xf>
    <xf numFmtId="10" fontId="48" fillId="33" borderId="0" xfId="0" applyNumberFormat="1" applyFont="1" applyFill="1" applyBorder="1" applyAlignment="1">
      <alignment horizontal="center" vertical="top" wrapText="1"/>
    </xf>
    <xf numFmtId="10" fontId="48" fillId="35" borderId="0" xfId="0" applyNumberFormat="1" applyFont="1" applyFill="1" applyBorder="1" applyAlignment="1">
      <alignment horizontal="center" vertical="top" wrapText="1"/>
    </xf>
    <xf numFmtId="10" fontId="38" fillId="33" borderId="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9" fontId="54" fillId="0" borderId="10" xfId="0" applyNumberFormat="1" applyFont="1" applyFill="1" applyBorder="1" applyAlignment="1">
      <alignment horizontal="center" vertical="top" wrapText="1"/>
    </xf>
    <xf numFmtId="0" fontId="54" fillId="35" borderId="10" xfId="0" applyFont="1" applyFill="1" applyBorder="1" applyAlignment="1">
      <alignment horizontal="center" vertical="top" wrapText="1"/>
    </xf>
    <xf numFmtId="174" fontId="56" fillId="35" borderId="10" xfId="0" applyNumberFormat="1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10" fontId="0" fillId="0" borderId="13" xfId="0" applyNumberForma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9" fontId="5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10" fontId="46" fillId="0" borderId="10" xfId="0" applyNumberFormat="1" applyFont="1" applyFill="1" applyBorder="1" applyAlignment="1">
      <alignment horizontal="center" vertical="top" wrapText="1"/>
    </xf>
    <xf numFmtId="10" fontId="46" fillId="0" borderId="12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1" fontId="0" fillId="33" borderId="0" xfId="0" applyNumberFormat="1" applyFill="1" applyBorder="1" applyAlignment="1">
      <alignment horizontal="center" vertical="top" wrapText="1"/>
    </xf>
    <xf numFmtId="1" fontId="38" fillId="33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0" fontId="48" fillId="0" borderId="0" xfId="0" applyNumberFormat="1" applyFont="1" applyFill="1" applyBorder="1" applyAlignment="1">
      <alignment horizontal="center" vertical="top" wrapText="1"/>
    </xf>
    <xf numFmtId="10" fontId="0" fillId="0" borderId="0" xfId="0" applyNumberFormat="1" applyFill="1" applyBorder="1" applyAlignment="1">
      <alignment horizontal="center" vertical="top" wrapText="1"/>
    </xf>
    <xf numFmtId="2" fontId="38" fillId="0" borderId="0" xfId="0" applyNumberFormat="1" applyFont="1" applyBorder="1" applyAlignment="1">
      <alignment horizontal="center" vertical="top" wrapText="1"/>
    </xf>
    <xf numFmtId="10" fontId="38" fillId="0" borderId="0" xfId="0" applyNumberFormat="1" applyFont="1" applyBorder="1" applyAlignment="1">
      <alignment horizontal="center" vertical="top" wrapText="1"/>
    </xf>
    <xf numFmtId="10" fontId="38" fillId="0" borderId="0" xfId="0" applyNumberFormat="1" applyFont="1" applyFill="1" applyBorder="1" applyAlignment="1">
      <alignment horizontal="center" vertical="top" wrapText="1"/>
    </xf>
    <xf numFmtId="10" fontId="48" fillId="35" borderId="11" xfId="0" applyNumberFormat="1" applyFont="1" applyFill="1" applyBorder="1" applyAlignment="1">
      <alignment horizontal="center" vertical="top" wrapText="1"/>
    </xf>
    <xf numFmtId="10" fontId="0" fillId="35" borderId="11" xfId="0" applyNumberFormat="1" applyFill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1" fontId="38" fillId="35" borderId="10" xfId="0" applyNumberFormat="1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75" fontId="38" fillId="36" borderId="10" xfId="0" applyNumberFormat="1" applyFont="1" applyFill="1" applyBorder="1" applyAlignment="1">
      <alignment horizontal="center" vertical="top" wrapText="1"/>
    </xf>
    <xf numFmtId="175" fontId="38" fillId="34" borderId="10" xfId="0" applyNumberFormat="1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 vertical="top" wrapText="1"/>
    </xf>
    <xf numFmtId="171" fontId="0" fillId="34" borderId="10" xfId="60" applyFont="1" applyFill="1" applyBorder="1" applyAlignment="1">
      <alignment horizontal="center" vertical="top" wrapText="1"/>
    </xf>
    <xf numFmtId="2" fontId="38" fillId="34" borderId="10" xfId="0" applyNumberFormat="1" applyFont="1" applyFill="1" applyBorder="1" applyAlignment="1">
      <alignment horizontal="center" vertical="top" wrapText="1"/>
    </xf>
    <xf numFmtId="175" fontId="0" fillId="34" borderId="10" xfId="0" applyNumberFormat="1" applyFill="1" applyBorder="1" applyAlignment="1">
      <alignment horizontal="center" vertical="top" wrapText="1"/>
    </xf>
    <xf numFmtId="175" fontId="0" fillId="36" borderId="10" xfId="0" applyNumberFormat="1" applyFill="1" applyBorder="1" applyAlignment="1">
      <alignment horizontal="center" vertical="top" wrapText="1"/>
    </xf>
    <xf numFmtId="175" fontId="54" fillId="34" borderId="10" xfId="0" applyNumberFormat="1" applyFont="1" applyFill="1" applyBorder="1" applyAlignment="1">
      <alignment horizontal="center" vertical="top" wrapText="1"/>
    </xf>
    <xf numFmtId="2" fontId="38" fillId="36" borderId="10" xfId="0" applyNumberFormat="1" applyFont="1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9" fontId="0" fillId="0" borderId="10" xfId="0" applyNumberFormat="1" applyBorder="1" applyAlignment="1">
      <alignment horizontal="center" vertical="top" wrapText="1"/>
    </xf>
    <xf numFmtId="9" fontId="38" fillId="0" borderId="10" xfId="0" applyNumberFormat="1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10" fontId="0" fillId="35" borderId="10" xfId="0" applyNumberFormat="1" applyFill="1" applyBorder="1" applyAlignment="1">
      <alignment horizontal="center" vertical="top" wrapText="1"/>
    </xf>
    <xf numFmtId="0" fontId="38" fillId="35" borderId="10" xfId="0" applyFont="1" applyFill="1" applyBorder="1" applyAlignment="1">
      <alignment horizontal="center" vertical="top" wrapText="1"/>
    </xf>
    <xf numFmtId="0" fontId="38" fillId="35" borderId="0" xfId="0" applyFont="1" applyFill="1" applyAlignment="1">
      <alignment horizontal="center" vertical="top" wrapText="1"/>
    </xf>
    <xf numFmtId="10" fontId="38" fillId="35" borderId="10" xfId="0" applyNumberFormat="1" applyFont="1" applyFill="1" applyBorder="1" applyAlignment="1">
      <alignment horizontal="center" vertical="top" wrapText="1"/>
    </xf>
    <xf numFmtId="0" fontId="38" fillId="35" borderId="19" xfId="0" applyFont="1" applyFill="1" applyBorder="1" applyAlignment="1">
      <alignment horizontal="center" vertical="top" wrapText="1"/>
    </xf>
    <xf numFmtId="0" fontId="57" fillId="35" borderId="10" xfId="0" applyFont="1" applyFill="1" applyBorder="1" applyAlignment="1">
      <alignment horizontal="center" vertical="top" wrapText="1"/>
    </xf>
    <xf numFmtId="174" fontId="38" fillId="34" borderId="10" xfId="0" applyNumberFormat="1" applyFont="1" applyFill="1" applyBorder="1" applyAlignment="1">
      <alignment horizontal="center" vertical="top" wrapText="1"/>
    </xf>
    <xf numFmtId="10" fontId="38" fillId="34" borderId="10" xfId="0" applyNumberFormat="1" applyFont="1" applyFill="1" applyBorder="1" applyAlignment="1">
      <alignment horizontal="center" vertical="top" wrapText="1"/>
    </xf>
    <xf numFmtId="1" fontId="38" fillId="34" borderId="10" xfId="0" applyNumberFormat="1" applyFont="1" applyFill="1" applyBorder="1" applyAlignment="1">
      <alignment horizontal="center" vertical="top" wrapText="1"/>
    </xf>
    <xf numFmtId="10" fontId="0" fillId="36" borderId="11" xfId="0" applyNumberFormat="1" applyFill="1" applyBorder="1" applyAlignment="1">
      <alignment horizontal="center" vertical="top" wrapText="1"/>
    </xf>
    <xf numFmtId="10" fontId="0" fillId="34" borderId="10" xfId="0" applyNumberFormat="1" applyFill="1" applyBorder="1" applyAlignment="1">
      <alignment horizontal="center" vertical="top" wrapText="1"/>
    </xf>
    <xf numFmtId="10" fontId="0" fillId="35" borderId="10" xfId="0" applyNumberFormat="1" applyFont="1" applyFill="1" applyBorder="1" applyAlignment="1">
      <alignment horizontal="center" vertical="top" wrapText="1"/>
    </xf>
    <xf numFmtId="175" fontId="38" fillId="34" borderId="11" xfId="0" applyNumberFormat="1" applyFont="1" applyFill="1" applyBorder="1" applyAlignment="1">
      <alignment horizontal="center" vertical="top" wrapText="1"/>
    </xf>
    <xf numFmtId="9" fontId="0" fillId="36" borderId="10" xfId="0" applyNumberFormat="1" applyFill="1" applyBorder="1" applyAlignment="1">
      <alignment horizontal="center" vertical="top" wrapText="1"/>
    </xf>
    <xf numFmtId="2" fontId="0" fillId="34" borderId="10" xfId="0" applyNumberForma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horizontal="center" vertical="top" wrapText="1"/>
    </xf>
    <xf numFmtId="174" fontId="38" fillId="36" borderId="10" xfId="0" applyNumberFormat="1" applyFont="1" applyFill="1" applyBorder="1" applyAlignment="1">
      <alignment horizontal="center" vertical="top" wrapText="1"/>
    </xf>
    <xf numFmtId="10" fontId="0" fillId="36" borderId="10" xfId="0" applyNumberFormat="1" applyFill="1" applyBorder="1" applyAlignment="1">
      <alignment horizontal="center" vertical="top" wrapText="1"/>
    </xf>
    <xf numFmtId="1" fontId="38" fillId="36" borderId="10" xfId="0" applyNumberFormat="1" applyFont="1" applyFill="1" applyBorder="1" applyAlignment="1">
      <alignment horizontal="center" vertical="top" wrapText="1"/>
    </xf>
    <xf numFmtId="174" fontId="0" fillId="36" borderId="10" xfId="0" applyNumberFormat="1" applyFill="1" applyBorder="1" applyAlignment="1">
      <alignment horizontal="center" vertical="top" wrapText="1"/>
    </xf>
    <xf numFmtId="2" fontId="0" fillId="36" borderId="10" xfId="0" applyNumberFormat="1" applyFill="1" applyBorder="1" applyAlignment="1">
      <alignment horizontal="center" vertical="top" wrapText="1"/>
    </xf>
    <xf numFmtId="9" fontId="0" fillId="34" borderId="10" xfId="0" applyNumberFormat="1" applyFill="1" applyBorder="1" applyAlignment="1">
      <alignment horizontal="center" vertical="top" wrapText="1"/>
    </xf>
    <xf numFmtId="9" fontId="0" fillId="33" borderId="10" xfId="0" applyNumberFormat="1" applyFill="1" applyBorder="1" applyAlignment="1">
      <alignment horizontal="center" vertical="top" wrapText="1"/>
    </xf>
    <xf numFmtId="10" fontId="56" fillId="35" borderId="10" xfId="0" applyNumberFormat="1" applyFont="1" applyFill="1" applyBorder="1" applyAlignment="1">
      <alignment horizontal="center" vertical="top" wrapText="1"/>
    </xf>
    <xf numFmtId="10" fontId="0" fillId="36" borderId="10" xfId="0" applyNumberFormat="1" applyFont="1" applyFill="1" applyBorder="1" applyAlignment="1">
      <alignment horizontal="center" vertical="top" wrapText="1"/>
    </xf>
    <xf numFmtId="174" fontId="48" fillId="34" borderId="10" xfId="0" applyNumberFormat="1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174" fontId="54" fillId="35" borderId="10" xfId="0" applyNumberFormat="1" applyFont="1" applyFill="1" applyBorder="1" applyAlignment="1">
      <alignment horizontal="center" vertical="top" wrapText="1"/>
    </xf>
    <xf numFmtId="10" fontId="38" fillId="36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0" fontId="53" fillId="35" borderId="10" xfId="0" applyFont="1" applyFill="1" applyBorder="1" applyAlignment="1">
      <alignment vertical="center" wrapText="1"/>
    </xf>
    <xf numFmtId="175" fontId="0" fillId="35" borderId="10" xfId="0" applyNumberFormat="1" applyFont="1" applyFill="1" applyBorder="1" applyAlignment="1">
      <alignment/>
    </xf>
    <xf numFmtId="2" fontId="29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38" fillId="35" borderId="10" xfId="0" applyNumberFormat="1" applyFont="1" applyFill="1" applyBorder="1" applyAlignment="1">
      <alignment horizontal="center" vertical="top" wrapText="1"/>
    </xf>
    <xf numFmtId="1" fontId="54" fillId="35" borderId="10" xfId="0" applyNumberFormat="1" applyFont="1" applyFill="1" applyBorder="1" applyAlignment="1">
      <alignment horizontal="center" vertical="top" wrapText="1"/>
    </xf>
    <xf numFmtId="175" fontId="54" fillId="35" borderId="10" xfId="0" applyNumberFormat="1" applyFont="1" applyFill="1" applyBorder="1" applyAlignment="1">
      <alignment horizontal="center" vertical="top" wrapText="1"/>
    </xf>
    <xf numFmtId="0" fontId="54" fillId="35" borderId="11" xfId="0" applyFont="1" applyFill="1" applyBorder="1" applyAlignment="1">
      <alignment horizontal="center" vertical="top" wrapText="1"/>
    </xf>
    <xf numFmtId="0" fontId="38" fillId="35" borderId="11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2" fontId="0" fillId="35" borderId="11" xfId="0" applyNumberFormat="1" applyFill="1" applyBorder="1" applyAlignment="1">
      <alignment horizontal="center" vertical="top" wrapText="1"/>
    </xf>
    <xf numFmtId="175" fontId="0" fillId="35" borderId="11" xfId="0" applyNumberFormat="1" applyFill="1" applyBorder="1" applyAlignment="1">
      <alignment horizontal="center" vertical="top" wrapText="1"/>
    </xf>
    <xf numFmtId="175" fontId="38" fillId="35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35" borderId="11" xfId="0" applyFill="1" applyBorder="1" applyAlignment="1">
      <alignment vertical="top" wrapText="1"/>
    </xf>
    <xf numFmtId="0" fontId="0" fillId="35" borderId="2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21" xfId="0" applyFont="1" applyBorder="1" applyAlignment="1">
      <alignment vertical="top" wrapText="1"/>
    </xf>
    <xf numFmtId="0" fontId="38" fillId="0" borderId="2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4" fillId="35" borderId="10" xfId="0" applyFont="1" applyFill="1" applyBorder="1" applyAlignment="1">
      <alignment horizontal="right" vertical="top" wrapText="1"/>
    </xf>
    <xf numFmtId="9" fontId="54" fillId="35" borderId="10" xfId="0" applyNumberFormat="1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71" fontId="0" fillId="35" borderId="10" xfId="6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0" fontId="0" fillId="34" borderId="11" xfId="0" applyNumberFormat="1" applyFill="1" applyBorder="1" applyAlignment="1">
      <alignment horizontal="center" vertical="top" wrapText="1"/>
    </xf>
    <xf numFmtId="174" fontId="0" fillId="34" borderId="10" xfId="0" applyNumberForma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10" fontId="0" fillId="33" borderId="10" xfId="0" applyNumberFormat="1" applyFont="1" applyFill="1" applyBorder="1" applyAlignment="1">
      <alignment horizontal="center" vertical="top" wrapText="1"/>
    </xf>
    <xf numFmtId="175" fontId="0" fillId="36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ill="1" applyBorder="1" applyAlignment="1">
      <alignment horizontal="center" vertical="top" wrapText="1"/>
    </xf>
    <xf numFmtId="174" fontId="0" fillId="35" borderId="10" xfId="0" applyNumberFormat="1" applyFont="1" applyFill="1" applyBorder="1" applyAlignment="1">
      <alignment horizontal="center" vertical="top" wrapText="1"/>
    </xf>
    <xf numFmtId="10" fontId="54" fillId="35" borderId="10" xfId="0" applyNumberFormat="1" applyFont="1" applyFill="1" applyBorder="1" applyAlignment="1">
      <alignment horizontal="center" vertical="top" wrapText="1"/>
    </xf>
    <xf numFmtId="0" fontId="0" fillId="35" borderId="10" xfId="0" applyNumberForma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38" fillId="35" borderId="10" xfId="0" applyNumberFormat="1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174" fontId="0" fillId="0" borderId="10" xfId="0" applyNumberFormat="1" applyFont="1" applyBorder="1" applyAlignment="1">
      <alignment horizontal="center" vertical="top" wrapText="1"/>
    </xf>
    <xf numFmtId="174" fontId="0" fillId="34" borderId="10" xfId="0" applyNumberFormat="1" applyFont="1" applyFill="1" applyBorder="1" applyAlignment="1">
      <alignment horizontal="center" vertical="top" wrapText="1"/>
    </xf>
    <xf numFmtId="174" fontId="0" fillId="0" borderId="10" xfId="0" applyNumberForma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5" borderId="20" xfId="0" applyFill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35" borderId="10" xfId="0" applyNumberFormat="1" applyFont="1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175" fontId="0" fillId="35" borderId="10" xfId="0" applyNumberFormat="1" applyFill="1" applyBorder="1" applyAlignment="1">
      <alignment/>
    </xf>
    <xf numFmtId="2" fontId="0" fillId="35" borderId="13" xfId="0" applyNumberFormat="1" applyFill="1" applyBorder="1" applyAlignment="1">
      <alignment horizontal="center" wrapText="1"/>
    </xf>
    <xf numFmtId="0" fontId="0" fillId="35" borderId="22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9" fontId="0" fillId="33" borderId="10" xfId="0" applyNumberFormat="1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35" borderId="10" xfId="0" applyFill="1" applyBorder="1" applyAlignment="1">
      <alignment vertical="top" wrapText="1"/>
    </xf>
    <xf numFmtId="0" fontId="0" fillId="35" borderId="10" xfId="0" applyFill="1" applyBorder="1" applyAlignment="1">
      <alignment vertical="top"/>
    </xf>
    <xf numFmtId="9" fontId="0" fillId="35" borderId="10" xfId="0" applyNumberFormat="1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" fontId="0" fillId="35" borderId="10" xfId="0" applyNumberFormat="1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174" fontId="0" fillId="35" borderId="10" xfId="0" applyNumberFormat="1" applyFill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171" fontId="38" fillId="34" borderId="10" xfId="6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10" fontId="38" fillId="35" borderId="11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9" fontId="29" fillId="0" borderId="10" xfId="0" applyNumberFormat="1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9" fontId="38" fillId="35" borderId="10" xfId="57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175" fontId="38" fillId="35" borderId="0" xfId="0" applyNumberFormat="1" applyFont="1" applyFill="1" applyBorder="1" applyAlignment="1">
      <alignment horizontal="center" vertical="top" wrapText="1"/>
    </xf>
    <xf numFmtId="0" fontId="38" fillId="35" borderId="0" xfId="0" applyNumberFormat="1" applyFont="1" applyFill="1" applyBorder="1" applyAlignment="1">
      <alignment horizontal="center" vertical="top" wrapText="1"/>
    </xf>
    <xf numFmtId="10" fontId="38" fillId="35" borderId="19" xfId="0" applyNumberFormat="1" applyFont="1" applyFill="1" applyBorder="1" applyAlignment="1">
      <alignment horizontal="center" vertical="top" wrapText="1"/>
    </xf>
    <xf numFmtId="10" fontId="0" fillId="35" borderId="19" xfId="0" applyNumberFormat="1" applyFill="1" applyBorder="1" applyAlignment="1">
      <alignment horizontal="center" vertical="top" wrapText="1"/>
    </xf>
    <xf numFmtId="1" fontId="38" fillId="35" borderId="0" xfId="0" applyNumberFormat="1" applyFont="1" applyFill="1" applyBorder="1" applyAlignment="1">
      <alignment horizontal="center" vertical="top" wrapText="1"/>
    </xf>
    <xf numFmtId="0" fontId="38" fillId="35" borderId="12" xfId="0" applyFont="1" applyFill="1" applyBorder="1" applyAlignment="1">
      <alignment horizontal="center" vertical="top" wrapText="1"/>
    </xf>
    <xf numFmtId="9" fontId="0" fillId="35" borderId="13" xfId="0" applyNumberFormat="1" applyFill="1" applyBorder="1" applyAlignment="1">
      <alignment horizontal="center" vertical="top" wrapText="1"/>
    </xf>
    <xf numFmtId="175" fontId="0" fillId="35" borderId="13" xfId="0" applyNumberFormat="1" applyFill="1" applyBorder="1" applyAlignment="1">
      <alignment horizontal="center" vertical="top" wrapText="1"/>
    </xf>
    <xf numFmtId="174" fontId="0" fillId="35" borderId="13" xfId="0" applyNumberFormat="1" applyFill="1" applyBorder="1" applyAlignment="1">
      <alignment horizontal="center" vertical="top" wrapText="1"/>
    </xf>
    <xf numFmtId="174" fontId="38" fillId="35" borderId="13" xfId="0" applyNumberFormat="1" applyFont="1" applyFill="1" applyBorder="1" applyAlignment="1">
      <alignment horizontal="center" vertical="top" wrapText="1"/>
    </xf>
    <xf numFmtId="1" fontId="0" fillId="35" borderId="13" xfId="0" applyNumberFormat="1" applyFill="1" applyBorder="1" applyAlignment="1">
      <alignment horizontal="center" vertical="top" wrapText="1"/>
    </xf>
    <xf numFmtId="10" fontId="48" fillId="35" borderId="13" xfId="0" applyNumberFormat="1" applyFont="1" applyFill="1" applyBorder="1" applyAlignment="1">
      <alignment horizontal="center" vertical="top" wrapText="1"/>
    </xf>
    <xf numFmtId="10" fontId="0" fillId="35" borderId="13" xfId="0" applyNumberFormat="1" applyFill="1" applyBorder="1" applyAlignment="1">
      <alignment horizontal="center" vertical="top" wrapText="1"/>
    </xf>
    <xf numFmtId="9" fontId="38" fillId="35" borderId="0" xfId="0" applyNumberFormat="1" applyFont="1" applyFill="1" applyBorder="1" applyAlignment="1">
      <alignment horizontal="center" vertical="top" wrapText="1"/>
    </xf>
    <xf numFmtId="2" fontId="38" fillId="35" borderId="0" xfId="0" applyNumberFormat="1" applyFont="1" applyFill="1" applyBorder="1" applyAlignment="1">
      <alignment horizontal="center" vertical="top" wrapText="1"/>
    </xf>
    <xf numFmtId="174" fontId="38" fillId="35" borderId="0" xfId="0" applyNumberFormat="1" applyFont="1" applyFill="1" applyBorder="1" applyAlignment="1">
      <alignment horizontal="center" vertical="top" wrapText="1"/>
    </xf>
    <xf numFmtId="9" fontId="38" fillId="35" borderId="0" xfId="57" applyFont="1" applyFill="1" applyBorder="1" applyAlignment="1">
      <alignment horizontal="center" vertical="top" wrapText="1"/>
    </xf>
    <xf numFmtId="0" fontId="0" fillId="35" borderId="13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174" fontId="0" fillId="33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74" fontId="0" fillId="0" borderId="10" xfId="0" applyNumberFormat="1" applyFont="1" applyFill="1" applyBorder="1" applyAlignment="1">
      <alignment horizontal="center" vertical="top" wrapText="1"/>
    </xf>
    <xf numFmtId="9" fontId="0" fillId="34" borderId="10" xfId="0" applyNumberFormat="1" applyFill="1" applyBorder="1" applyAlignment="1">
      <alignment horizontal="center" vertical="top"/>
    </xf>
    <xf numFmtId="1" fontId="0" fillId="36" borderId="10" xfId="0" applyNumberForma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  <xf numFmtId="0" fontId="38" fillId="0" borderId="25" xfId="0" applyFont="1" applyBorder="1" applyAlignment="1">
      <alignment horizontal="center" vertical="top" wrapText="1"/>
    </xf>
    <xf numFmtId="0" fontId="38" fillId="0" borderId="27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35" borderId="2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0" fontId="0" fillId="35" borderId="24" xfId="0" applyFill="1" applyBorder="1" applyAlignment="1">
      <alignment horizontal="center" vertical="top" wrapText="1"/>
    </xf>
    <xf numFmtId="0" fontId="0" fillId="35" borderId="0" xfId="0" applyFill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38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75" fontId="0" fillId="0" borderId="10" xfId="0" applyNumberFormat="1" applyBorder="1" applyAlignment="1">
      <alignment horizontal="center" vertical="top" wrapText="1"/>
    </xf>
    <xf numFmtId="175" fontId="0" fillId="0" borderId="13" xfId="0" applyNumberFormat="1" applyBorder="1" applyAlignment="1">
      <alignment horizontal="center" vertical="top" wrapText="1"/>
    </xf>
    <xf numFmtId="175" fontId="0" fillId="0" borderId="12" xfId="0" applyNumberForma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35" borderId="0" xfId="0" applyFill="1" applyAlignment="1">
      <alignment horizontal="left" vertical="top" wrapText="1"/>
    </xf>
    <xf numFmtId="49" fontId="0" fillId="35" borderId="10" xfId="0" applyNumberForma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S58"/>
  <sheetViews>
    <sheetView tabSelected="1" view="pageBreakPreview" zoomScaleSheetLayoutView="100" zoomScalePageLayoutView="0" workbookViewId="0" topLeftCell="A4">
      <selection activeCell="S12" sqref="A1:S12"/>
    </sheetView>
  </sheetViews>
  <sheetFormatPr defaultColWidth="9.140625" defaultRowHeight="15"/>
  <cols>
    <col min="1" max="1" width="9.140625" style="234" customWidth="1"/>
    <col min="2" max="2" width="6.421875" style="15" customWidth="1"/>
    <col min="3" max="3" width="11.421875" style="15" customWidth="1"/>
    <col min="4" max="4" width="6.421875" style="15" customWidth="1"/>
    <col min="5" max="5" width="7.00390625" style="15" customWidth="1"/>
    <col min="6" max="6" width="9.28125" style="15" customWidth="1"/>
    <col min="7" max="7" width="7.57421875" style="76" customWidth="1"/>
    <col min="8" max="8" width="7.421875" style="76" customWidth="1"/>
    <col min="9" max="9" width="5.7109375" style="15" customWidth="1"/>
    <col min="10" max="10" width="7.8515625" style="15" customWidth="1"/>
    <col min="11" max="11" width="6.8515625" style="15" customWidth="1"/>
    <col min="12" max="12" width="8.140625" style="15" customWidth="1"/>
    <col min="13" max="13" width="7.8515625" style="15" customWidth="1"/>
    <col min="14" max="14" width="7.57421875" style="15" customWidth="1"/>
    <col min="15" max="15" width="9.140625" style="15" customWidth="1"/>
    <col min="16" max="16" width="8.28125" style="15" customWidth="1"/>
    <col min="17" max="17" width="12.57421875" style="15" customWidth="1"/>
    <col min="18" max="16384" width="9.140625" style="15" customWidth="1"/>
  </cols>
  <sheetData>
    <row r="1" spans="1:17" s="476" customFormat="1" ht="15" customHeight="1">
      <c r="A1" s="516"/>
      <c r="B1" s="588" t="s">
        <v>255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11"/>
      <c r="P1" s="512"/>
      <c r="Q1" s="512"/>
    </row>
    <row r="2" spans="1:19" s="476" customFormat="1" ht="165" customHeight="1">
      <c r="A2" s="590" t="s">
        <v>256</v>
      </c>
      <c r="B2" s="512"/>
      <c r="C2" s="512"/>
      <c r="D2" s="590" t="s">
        <v>7</v>
      </c>
      <c r="E2" s="590"/>
      <c r="F2" s="590" t="s">
        <v>39</v>
      </c>
      <c r="G2" s="592" t="s">
        <v>59</v>
      </c>
      <c r="H2" s="513" t="s">
        <v>61</v>
      </c>
      <c r="I2" s="590" t="s">
        <v>9</v>
      </c>
      <c r="J2" s="590"/>
      <c r="K2" s="590" t="s">
        <v>13</v>
      </c>
      <c r="L2" s="590"/>
      <c r="M2" s="590"/>
      <c r="N2" s="587" t="s">
        <v>257</v>
      </c>
      <c r="O2" s="594"/>
      <c r="P2" s="587" t="s">
        <v>127</v>
      </c>
      <c r="Q2" s="587"/>
      <c r="R2" s="587" t="s">
        <v>284</v>
      </c>
      <c r="S2" s="587"/>
    </row>
    <row r="3" spans="1:19" s="476" customFormat="1" ht="210">
      <c r="A3" s="590"/>
      <c r="B3" s="512"/>
      <c r="C3" s="512"/>
      <c r="D3" s="512" t="s">
        <v>8</v>
      </c>
      <c r="E3" s="512" t="s">
        <v>11</v>
      </c>
      <c r="F3" s="590"/>
      <c r="G3" s="593"/>
      <c r="H3" s="514" t="s">
        <v>153</v>
      </c>
      <c r="I3" s="512" t="s">
        <v>8</v>
      </c>
      <c r="J3" s="512" t="s">
        <v>10</v>
      </c>
      <c r="K3" s="512" t="s">
        <v>14</v>
      </c>
      <c r="L3" s="512" t="s">
        <v>12</v>
      </c>
      <c r="M3" s="512" t="s">
        <v>15</v>
      </c>
      <c r="N3" s="509" t="s">
        <v>8</v>
      </c>
      <c r="O3" s="515" t="s">
        <v>10</v>
      </c>
      <c r="P3" s="509" t="s">
        <v>8</v>
      </c>
      <c r="Q3" s="509" t="s">
        <v>10</v>
      </c>
      <c r="R3" s="553" t="s">
        <v>8</v>
      </c>
      <c r="S3" s="553" t="s">
        <v>10</v>
      </c>
    </row>
    <row r="4" spans="1:19" s="476" customFormat="1" ht="15">
      <c r="A4" s="590"/>
      <c r="B4" s="512">
        <v>1</v>
      </c>
      <c r="C4" s="512" t="s">
        <v>0</v>
      </c>
      <c r="D4" s="509">
        <v>6</v>
      </c>
      <c r="E4" s="295">
        <v>0.2857</v>
      </c>
      <c r="F4" s="315">
        <v>66.5</v>
      </c>
      <c r="G4" s="94">
        <v>43.5</v>
      </c>
      <c r="H4" s="499">
        <v>0.75</v>
      </c>
      <c r="I4" s="509">
        <v>0</v>
      </c>
      <c r="J4" s="499">
        <v>0</v>
      </c>
      <c r="K4" s="509">
        <v>5</v>
      </c>
      <c r="L4" s="295">
        <v>0.7143</v>
      </c>
      <c r="M4" s="315">
        <v>63.8</v>
      </c>
      <c r="N4" s="70">
        <v>0</v>
      </c>
      <c r="O4" s="267">
        <v>0</v>
      </c>
      <c r="P4" s="509">
        <v>0</v>
      </c>
      <c r="Q4" s="295">
        <v>0</v>
      </c>
      <c r="R4" s="70">
        <v>4</v>
      </c>
      <c r="S4" s="295">
        <v>0.6667</v>
      </c>
    </row>
    <row r="5" spans="1:19" s="476" customFormat="1" ht="15">
      <c r="A5" s="590"/>
      <c r="B5" s="512">
        <v>2</v>
      </c>
      <c r="C5" s="512" t="s">
        <v>1</v>
      </c>
      <c r="D5" s="509"/>
      <c r="E5" s="48"/>
      <c r="F5" s="509"/>
      <c r="G5" s="509"/>
      <c r="H5" s="499"/>
      <c r="I5" s="509"/>
      <c r="J5" s="499"/>
      <c r="K5" s="509"/>
      <c r="L5" s="48"/>
      <c r="M5" s="70"/>
      <c r="N5" s="70"/>
      <c r="O5" s="267"/>
      <c r="P5" s="509"/>
      <c r="Q5" s="295"/>
      <c r="R5" s="70"/>
      <c r="S5" s="295"/>
    </row>
    <row r="6" spans="1:19" s="476" customFormat="1" ht="15">
      <c r="A6" s="590"/>
      <c r="B6" s="512">
        <v>3</v>
      </c>
      <c r="C6" s="512" t="s">
        <v>2</v>
      </c>
      <c r="D6" s="509">
        <v>2</v>
      </c>
      <c r="E6" s="48">
        <v>0.1</v>
      </c>
      <c r="F6" s="502">
        <v>86</v>
      </c>
      <c r="G6" s="509">
        <v>54</v>
      </c>
      <c r="H6" s="499">
        <v>0.93</v>
      </c>
      <c r="I6" s="509">
        <v>0</v>
      </c>
      <c r="J6" s="499">
        <v>0</v>
      </c>
      <c r="K6" s="509">
        <v>2</v>
      </c>
      <c r="L6" s="48">
        <v>0.28</v>
      </c>
      <c r="M6" s="70">
        <v>86</v>
      </c>
      <c r="N6" s="70">
        <v>0</v>
      </c>
      <c r="O6" s="267">
        <v>0</v>
      </c>
      <c r="P6" s="509">
        <v>1</v>
      </c>
      <c r="Q6" s="305">
        <f>P6/D6</f>
        <v>0.5</v>
      </c>
      <c r="R6" s="70">
        <v>2</v>
      </c>
      <c r="S6" s="295">
        <v>1</v>
      </c>
    </row>
    <row r="7" spans="1:19" s="476" customFormat="1" ht="15">
      <c r="A7" s="590"/>
      <c r="B7" s="512">
        <v>4</v>
      </c>
      <c r="C7" s="512" t="s">
        <v>3</v>
      </c>
      <c r="D7" s="509">
        <v>2</v>
      </c>
      <c r="E7" s="48">
        <v>0.11</v>
      </c>
      <c r="F7" s="105">
        <v>58</v>
      </c>
      <c r="G7" s="509">
        <v>37</v>
      </c>
      <c r="H7" s="499">
        <v>0.63</v>
      </c>
      <c r="I7" s="509">
        <v>0</v>
      </c>
      <c r="J7" s="499">
        <v>0</v>
      </c>
      <c r="K7" s="509">
        <v>2</v>
      </c>
      <c r="L7" s="48">
        <v>0.4</v>
      </c>
      <c r="M7" s="509">
        <v>58</v>
      </c>
      <c r="N7" s="70">
        <v>0</v>
      </c>
      <c r="O7" s="267">
        <v>0</v>
      </c>
      <c r="P7" s="509">
        <v>0</v>
      </c>
      <c r="Q7" s="295">
        <v>0</v>
      </c>
      <c r="R7" s="70">
        <v>0</v>
      </c>
      <c r="S7" s="295">
        <v>0</v>
      </c>
    </row>
    <row r="8" spans="1:19" s="476" customFormat="1" ht="30">
      <c r="A8" s="590"/>
      <c r="B8" s="512">
        <v>5</v>
      </c>
      <c r="C8" s="512" t="s">
        <v>4</v>
      </c>
      <c r="D8" s="509"/>
      <c r="E8" s="48"/>
      <c r="F8" s="509"/>
      <c r="G8" s="509"/>
      <c r="H8" s="509"/>
      <c r="I8" s="509"/>
      <c r="J8" s="499"/>
      <c r="K8" s="509"/>
      <c r="L8" s="509"/>
      <c r="M8" s="509"/>
      <c r="N8" s="70"/>
      <c r="O8" s="267"/>
      <c r="P8" s="509"/>
      <c r="Q8" s="295"/>
      <c r="R8" s="70"/>
      <c r="S8" s="295"/>
    </row>
    <row r="9" spans="1:19" s="476" customFormat="1" ht="45">
      <c r="A9" s="590"/>
      <c r="B9" s="512">
        <v>6</v>
      </c>
      <c r="C9" s="512" t="s">
        <v>5</v>
      </c>
      <c r="D9" s="509"/>
      <c r="E9" s="48"/>
      <c r="F9" s="509"/>
      <c r="G9" s="509"/>
      <c r="H9" s="509"/>
      <c r="I9" s="509"/>
      <c r="J9" s="499"/>
      <c r="K9" s="509"/>
      <c r="L9" s="509"/>
      <c r="M9" s="509"/>
      <c r="N9" s="70"/>
      <c r="O9" s="267"/>
      <c r="P9" s="509"/>
      <c r="Q9" s="295"/>
      <c r="R9" s="70"/>
      <c r="S9" s="295"/>
    </row>
    <row r="10" spans="1:19" s="476" customFormat="1" ht="15">
      <c r="A10" s="590"/>
      <c r="B10" s="521"/>
      <c r="C10" s="521" t="s">
        <v>6</v>
      </c>
      <c r="D10" s="296">
        <f>SUM(D4:D9)</f>
        <v>10</v>
      </c>
      <c r="E10" s="171">
        <v>0.14</v>
      </c>
      <c r="F10" s="283">
        <v>68.6</v>
      </c>
      <c r="G10" s="346">
        <v>44.2</v>
      </c>
      <c r="H10" s="83">
        <v>0.76</v>
      </c>
      <c r="I10" s="296">
        <v>0</v>
      </c>
      <c r="J10" s="83">
        <v>0</v>
      </c>
      <c r="K10" s="296">
        <v>9</v>
      </c>
      <c r="L10" s="83">
        <v>0.56</v>
      </c>
      <c r="M10" s="149">
        <v>67.33</v>
      </c>
      <c r="N10" s="269">
        <v>0</v>
      </c>
      <c r="O10" s="529">
        <v>0</v>
      </c>
      <c r="P10" s="296">
        <f>SUM(P5:P9)</f>
        <v>1</v>
      </c>
      <c r="Q10" s="298">
        <v>0.1</v>
      </c>
      <c r="R10" s="269">
        <v>6</v>
      </c>
      <c r="S10" s="302">
        <v>0.6</v>
      </c>
    </row>
    <row r="11" spans="1:19" s="476" customFormat="1" ht="15">
      <c r="A11" s="591"/>
      <c r="B11" s="561"/>
      <c r="C11" s="561" t="s">
        <v>22</v>
      </c>
      <c r="D11" s="296"/>
      <c r="E11" s="296"/>
      <c r="F11" s="296">
        <v>68.17</v>
      </c>
      <c r="G11" s="296"/>
      <c r="H11" s="296"/>
      <c r="I11" s="296"/>
      <c r="J11" s="296">
        <v>0.73</v>
      </c>
      <c r="K11" s="296"/>
      <c r="L11" s="296"/>
      <c r="M11" s="296"/>
      <c r="N11" s="296"/>
      <c r="O11" s="295"/>
      <c r="P11" s="296"/>
      <c r="Q11" s="296">
        <v>17.48</v>
      </c>
      <c r="R11" s="296"/>
      <c r="S11" s="295"/>
    </row>
    <row r="12" spans="1:19" s="554" customFormat="1" ht="15">
      <c r="A12" s="558"/>
      <c r="B12" s="561"/>
      <c r="C12" s="561" t="s">
        <v>277</v>
      </c>
      <c r="D12" s="296"/>
      <c r="E12" s="296"/>
      <c r="F12" s="296">
        <v>66</v>
      </c>
      <c r="G12" s="296"/>
      <c r="H12" s="296"/>
      <c r="I12" s="296"/>
      <c r="J12" s="296">
        <v>3.29</v>
      </c>
      <c r="K12" s="296"/>
      <c r="L12" s="296"/>
      <c r="M12" s="296"/>
      <c r="N12" s="296"/>
      <c r="O12" s="295"/>
      <c r="P12" s="296"/>
      <c r="Q12" s="296">
        <v>21.34</v>
      </c>
      <c r="R12" s="296"/>
      <c r="S12" s="295"/>
    </row>
    <row r="13" spans="1:19" s="554" customFormat="1" ht="15">
      <c r="A13" s="558"/>
      <c r="B13" s="560"/>
      <c r="C13" s="560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8"/>
      <c r="P13" s="567"/>
      <c r="Q13" s="567"/>
      <c r="R13" s="146"/>
      <c r="S13" s="148"/>
    </row>
    <row r="14" spans="1:17" s="476" customFormat="1" ht="15">
      <c r="A14" s="481"/>
      <c r="B14" s="588" t="s">
        <v>234</v>
      </c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P14" s="557"/>
      <c r="Q14" s="557"/>
    </row>
    <row r="15" spans="1:17" s="345" customFormat="1" ht="165">
      <c r="A15" s="590" t="s">
        <v>228</v>
      </c>
      <c r="B15" s="477"/>
      <c r="C15" s="477"/>
      <c r="D15" s="590" t="s">
        <v>7</v>
      </c>
      <c r="E15" s="590"/>
      <c r="F15" s="590" t="s">
        <v>39</v>
      </c>
      <c r="G15" s="592" t="s">
        <v>59</v>
      </c>
      <c r="H15" s="479" t="s">
        <v>61</v>
      </c>
      <c r="I15" s="590" t="s">
        <v>9</v>
      </c>
      <c r="J15" s="590"/>
      <c r="K15" s="590" t="s">
        <v>13</v>
      </c>
      <c r="L15" s="590"/>
      <c r="M15" s="590"/>
      <c r="N15" s="587" t="s">
        <v>250</v>
      </c>
      <c r="O15" s="594"/>
      <c r="P15" s="587" t="s">
        <v>127</v>
      </c>
      <c r="Q15" s="587"/>
    </row>
    <row r="16" spans="1:17" s="238" customFormat="1" ht="105.75" customHeight="1">
      <c r="A16" s="590"/>
      <c r="B16" s="477"/>
      <c r="C16" s="477"/>
      <c r="D16" s="477" t="s">
        <v>8</v>
      </c>
      <c r="E16" s="477" t="s">
        <v>11</v>
      </c>
      <c r="F16" s="590"/>
      <c r="G16" s="593"/>
      <c r="H16" s="480" t="s">
        <v>153</v>
      </c>
      <c r="I16" s="477" t="s">
        <v>8</v>
      </c>
      <c r="J16" s="477" t="s">
        <v>10</v>
      </c>
      <c r="K16" s="477" t="s">
        <v>14</v>
      </c>
      <c r="L16" s="477" t="s">
        <v>12</v>
      </c>
      <c r="M16" s="477" t="s">
        <v>15</v>
      </c>
      <c r="N16" s="474" t="s">
        <v>8</v>
      </c>
      <c r="O16" s="478" t="s">
        <v>10</v>
      </c>
      <c r="P16" s="474" t="s">
        <v>8</v>
      </c>
      <c r="Q16" s="474" t="s">
        <v>10</v>
      </c>
    </row>
    <row r="17" spans="1:253" s="238" customFormat="1" ht="135" customHeight="1">
      <c r="A17" s="590"/>
      <c r="B17" s="477">
        <v>1</v>
      </c>
      <c r="C17" s="477" t="s">
        <v>0</v>
      </c>
      <c r="D17" s="474"/>
      <c r="E17" s="48"/>
      <c r="F17" s="474"/>
      <c r="G17" s="474"/>
      <c r="H17" s="65"/>
      <c r="I17" s="474"/>
      <c r="J17" s="65"/>
      <c r="K17" s="474"/>
      <c r="L17" s="48"/>
      <c r="M17" s="70"/>
      <c r="N17" s="70"/>
      <c r="O17" s="267"/>
      <c r="P17" s="474"/>
      <c r="Q17" s="295"/>
      <c r="R17" s="595"/>
      <c r="S17" s="595"/>
      <c r="U17" s="595"/>
      <c r="V17" s="595"/>
      <c r="W17" s="595"/>
      <c r="X17" s="595"/>
      <c r="Y17" s="595"/>
      <c r="Z17" s="596"/>
      <c r="AA17" s="596"/>
      <c r="AB17" s="597"/>
      <c r="AC17" s="597"/>
      <c r="AF17" s="595"/>
      <c r="AG17" s="595"/>
      <c r="AH17" s="595"/>
      <c r="AI17" s="595"/>
      <c r="AK17" s="595"/>
      <c r="AL17" s="595"/>
      <c r="AM17" s="595"/>
      <c r="AN17" s="595"/>
      <c r="AO17" s="595"/>
      <c r="AP17" s="596"/>
      <c r="AQ17" s="596"/>
      <c r="AR17" s="597"/>
      <c r="AS17" s="597"/>
      <c r="AV17" s="595"/>
      <c r="AW17" s="595"/>
      <c r="AX17" s="595"/>
      <c r="AY17" s="595"/>
      <c r="BA17" s="595"/>
      <c r="BB17" s="595"/>
      <c r="BC17" s="595"/>
      <c r="BD17" s="595"/>
      <c r="BE17" s="595"/>
      <c r="BF17" s="596"/>
      <c r="BG17" s="596"/>
      <c r="BH17" s="597"/>
      <c r="BI17" s="597"/>
      <c r="BL17" s="595"/>
      <c r="BM17" s="595"/>
      <c r="BN17" s="595"/>
      <c r="BO17" s="595"/>
      <c r="BQ17" s="595"/>
      <c r="BR17" s="595"/>
      <c r="BS17" s="595"/>
      <c r="BT17" s="595"/>
      <c r="BU17" s="595"/>
      <c r="BV17" s="596"/>
      <c r="BW17" s="596"/>
      <c r="BX17" s="597"/>
      <c r="BY17" s="597"/>
      <c r="CB17" s="595"/>
      <c r="CC17" s="595"/>
      <c r="CD17" s="595"/>
      <c r="CE17" s="595"/>
      <c r="CG17" s="595"/>
      <c r="CH17" s="595"/>
      <c r="CI17" s="595"/>
      <c r="CJ17" s="595"/>
      <c r="CK17" s="595"/>
      <c r="CL17" s="596"/>
      <c r="CM17" s="596"/>
      <c r="CN17" s="597"/>
      <c r="CO17" s="597"/>
      <c r="CR17" s="595"/>
      <c r="CS17" s="595"/>
      <c r="CT17" s="595"/>
      <c r="CU17" s="595"/>
      <c r="CW17" s="595"/>
      <c r="CX17" s="595"/>
      <c r="CY17" s="595"/>
      <c r="CZ17" s="595"/>
      <c r="DA17" s="595"/>
      <c r="DB17" s="596"/>
      <c r="DC17" s="596"/>
      <c r="DD17" s="597"/>
      <c r="DE17" s="597"/>
      <c r="DH17" s="595"/>
      <c r="DI17" s="595"/>
      <c r="DJ17" s="595"/>
      <c r="DK17" s="595"/>
      <c r="DM17" s="595"/>
      <c r="DN17" s="595"/>
      <c r="DO17" s="595"/>
      <c r="DP17" s="595"/>
      <c r="DQ17" s="595"/>
      <c r="DR17" s="596"/>
      <c r="DS17" s="596"/>
      <c r="DT17" s="597"/>
      <c r="DU17" s="597"/>
      <c r="DX17" s="595"/>
      <c r="DY17" s="595"/>
      <c r="DZ17" s="595"/>
      <c r="EA17" s="595"/>
      <c r="EC17" s="595"/>
      <c r="ED17" s="595"/>
      <c r="EE17" s="595"/>
      <c r="EF17" s="595"/>
      <c r="EG17" s="595"/>
      <c r="EH17" s="596"/>
      <c r="EI17" s="596"/>
      <c r="EJ17" s="597"/>
      <c r="EK17" s="597"/>
      <c r="EN17" s="595"/>
      <c r="EO17" s="595"/>
      <c r="EP17" s="595"/>
      <c r="EQ17" s="595"/>
      <c r="ES17" s="595"/>
      <c r="ET17" s="595"/>
      <c r="EU17" s="595"/>
      <c r="EV17" s="595"/>
      <c r="EW17" s="595"/>
      <c r="EX17" s="596"/>
      <c r="EY17" s="596"/>
      <c r="EZ17" s="597"/>
      <c r="FA17" s="597"/>
      <c r="FD17" s="595"/>
      <c r="FE17" s="595"/>
      <c r="FF17" s="595"/>
      <c r="FG17" s="595"/>
      <c r="FI17" s="595"/>
      <c r="FJ17" s="595"/>
      <c r="FK17" s="595"/>
      <c r="FL17" s="595"/>
      <c r="FM17" s="595"/>
      <c r="FN17" s="596"/>
      <c r="FO17" s="596"/>
      <c r="FP17" s="597"/>
      <c r="FQ17" s="597"/>
      <c r="FT17" s="595"/>
      <c r="FU17" s="595"/>
      <c r="FV17" s="595"/>
      <c r="FW17" s="595"/>
      <c r="FY17" s="595"/>
      <c r="FZ17" s="595"/>
      <c r="GA17" s="595"/>
      <c r="GB17" s="595"/>
      <c r="GC17" s="595"/>
      <c r="GD17" s="596"/>
      <c r="GE17" s="596"/>
      <c r="GF17" s="597"/>
      <c r="GG17" s="597"/>
      <c r="GJ17" s="595"/>
      <c r="GK17" s="595"/>
      <c r="GL17" s="595"/>
      <c r="GM17" s="595"/>
      <c r="GO17" s="595"/>
      <c r="GP17" s="595"/>
      <c r="GQ17" s="595"/>
      <c r="GR17" s="595"/>
      <c r="GS17" s="595"/>
      <c r="GT17" s="596"/>
      <c r="GU17" s="596"/>
      <c r="GV17" s="597"/>
      <c r="GW17" s="597"/>
      <c r="GZ17" s="595"/>
      <c r="HA17" s="595"/>
      <c r="HB17" s="595"/>
      <c r="HC17" s="595"/>
      <c r="HE17" s="595"/>
      <c r="HF17" s="595"/>
      <c r="HG17" s="595"/>
      <c r="HH17" s="595"/>
      <c r="HI17" s="595"/>
      <c r="HJ17" s="596"/>
      <c r="HK17" s="596"/>
      <c r="HL17" s="597"/>
      <c r="HM17" s="597"/>
      <c r="HP17" s="595"/>
      <c r="HQ17" s="595"/>
      <c r="HR17" s="595"/>
      <c r="HS17" s="595"/>
      <c r="HU17" s="595"/>
      <c r="HV17" s="595"/>
      <c r="HW17" s="595"/>
      <c r="HX17" s="595"/>
      <c r="HY17" s="595"/>
      <c r="HZ17" s="596"/>
      <c r="IA17" s="596"/>
      <c r="IB17" s="597"/>
      <c r="IC17" s="597"/>
      <c r="IF17" s="595"/>
      <c r="IG17" s="595"/>
      <c r="IH17" s="595"/>
      <c r="II17" s="595"/>
      <c r="IK17" s="595"/>
      <c r="IL17" s="595"/>
      <c r="IM17" s="595"/>
      <c r="IN17" s="595"/>
      <c r="IO17" s="595"/>
      <c r="IP17" s="596"/>
      <c r="IQ17" s="596"/>
      <c r="IR17" s="597"/>
      <c r="IS17" s="597"/>
    </row>
    <row r="18" spans="1:253" s="238" customFormat="1" ht="15">
      <c r="A18" s="590"/>
      <c r="B18" s="477">
        <v>2</v>
      </c>
      <c r="C18" s="477" t="s">
        <v>1</v>
      </c>
      <c r="D18" s="474"/>
      <c r="E18" s="48"/>
      <c r="F18" s="474"/>
      <c r="G18" s="474"/>
      <c r="H18" s="65"/>
      <c r="I18" s="474"/>
      <c r="J18" s="65"/>
      <c r="K18" s="474"/>
      <c r="L18" s="48"/>
      <c r="M18" s="70"/>
      <c r="N18" s="70"/>
      <c r="O18" s="267"/>
      <c r="P18" s="474"/>
      <c r="Q18" s="295"/>
      <c r="R18" s="595"/>
      <c r="S18" s="595"/>
      <c r="Z18" s="239"/>
      <c r="AA18" s="239"/>
      <c r="AB18" s="240"/>
      <c r="AC18" s="240"/>
      <c r="AH18" s="595"/>
      <c r="AI18" s="595"/>
      <c r="AP18" s="239"/>
      <c r="AQ18" s="239"/>
      <c r="AR18" s="240"/>
      <c r="AS18" s="240"/>
      <c r="AX18" s="595"/>
      <c r="AY18" s="595"/>
      <c r="BF18" s="239"/>
      <c r="BG18" s="239"/>
      <c r="BH18" s="240"/>
      <c r="BI18" s="240"/>
      <c r="BN18" s="595"/>
      <c r="BO18" s="595"/>
      <c r="BV18" s="239"/>
      <c r="BW18" s="239"/>
      <c r="BX18" s="240"/>
      <c r="BY18" s="240"/>
      <c r="CD18" s="595"/>
      <c r="CE18" s="595"/>
      <c r="CL18" s="239"/>
      <c r="CM18" s="239"/>
      <c r="CN18" s="240"/>
      <c r="CO18" s="240"/>
      <c r="CT18" s="595"/>
      <c r="CU18" s="595"/>
      <c r="DB18" s="239"/>
      <c r="DC18" s="239"/>
      <c r="DD18" s="240"/>
      <c r="DE18" s="240"/>
      <c r="DJ18" s="595"/>
      <c r="DK18" s="595"/>
      <c r="DR18" s="239"/>
      <c r="DS18" s="239"/>
      <c r="DT18" s="240"/>
      <c r="DU18" s="240"/>
      <c r="DZ18" s="595"/>
      <c r="EA18" s="595"/>
      <c r="EH18" s="239"/>
      <c r="EI18" s="239"/>
      <c r="EJ18" s="240"/>
      <c r="EK18" s="240"/>
      <c r="EP18" s="595"/>
      <c r="EQ18" s="595"/>
      <c r="EX18" s="239"/>
      <c r="EY18" s="239"/>
      <c r="EZ18" s="240"/>
      <c r="FA18" s="240"/>
      <c r="FF18" s="595"/>
      <c r="FG18" s="595"/>
      <c r="FN18" s="239"/>
      <c r="FO18" s="239"/>
      <c r="FP18" s="240"/>
      <c r="FQ18" s="240"/>
      <c r="FV18" s="595"/>
      <c r="FW18" s="595"/>
      <c r="GD18" s="239"/>
      <c r="GE18" s="239"/>
      <c r="GF18" s="240"/>
      <c r="GG18" s="240"/>
      <c r="GL18" s="595"/>
      <c r="GM18" s="595"/>
      <c r="GT18" s="239"/>
      <c r="GU18" s="239"/>
      <c r="GV18" s="240"/>
      <c r="GW18" s="240"/>
      <c r="HB18" s="595"/>
      <c r="HC18" s="595"/>
      <c r="HJ18" s="239"/>
      <c r="HK18" s="239"/>
      <c r="HL18" s="240"/>
      <c r="HM18" s="240"/>
      <c r="HR18" s="595"/>
      <c r="HS18" s="595"/>
      <c r="HZ18" s="239"/>
      <c r="IA18" s="239"/>
      <c r="IB18" s="240"/>
      <c r="IC18" s="240"/>
      <c r="IH18" s="595"/>
      <c r="II18" s="595"/>
      <c r="IP18" s="239"/>
      <c r="IQ18" s="239"/>
      <c r="IR18" s="240"/>
      <c r="IS18" s="240"/>
    </row>
    <row r="19" spans="1:253" s="238" customFormat="1" ht="15">
      <c r="A19" s="590"/>
      <c r="B19" s="477">
        <v>3</v>
      </c>
      <c r="C19" s="477" t="s">
        <v>2</v>
      </c>
      <c r="D19" s="474">
        <v>4</v>
      </c>
      <c r="E19" s="48">
        <f>D19/29</f>
        <v>0.13793103448275862</v>
      </c>
      <c r="F19" s="474">
        <v>78</v>
      </c>
      <c r="G19" s="474">
        <v>50</v>
      </c>
      <c r="H19" s="65">
        <f>50/58</f>
        <v>0.8620689655172413</v>
      </c>
      <c r="I19" s="474"/>
      <c r="J19" s="65"/>
      <c r="K19" s="474">
        <v>0</v>
      </c>
      <c r="L19" s="48"/>
      <c r="M19" s="70"/>
      <c r="N19" s="70"/>
      <c r="O19" s="267"/>
      <c r="P19" s="474">
        <v>1</v>
      </c>
      <c r="Q19" s="295">
        <f>P19/D19</f>
        <v>0.25</v>
      </c>
      <c r="T19" s="144"/>
      <c r="V19" s="144"/>
      <c r="X19" s="204"/>
      <c r="Y19" s="245"/>
      <c r="Z19" s="246"/>
      <c r="AA19" s="208"/>
      <c r="AB19" s="240"/>
      <c r="AC19" s="148"/>
      <c r="AG19" s="204"/>
      <c r="AJ19" s="144"/>
      <c r="AL19" s="144"/>
      <c r="AN19" s="204"/>
      <c r="AO19" s="245"/>
      <c r="AP19" s="246"/>
      <c r="AQ19" s="208"/>
      <c r="AR19" s="240"/>
      <c r="AS19" s="148"/>
      <c r="AW19" s="204"/>
      <c r="AZ19" s="144"/>
      <c r="BB19" s="144"/>
      <c r="BD19" s="204"/>
      <c r="BE19" s="245"/>
      <c r="BF19" s="246"/>
      <c r="BG19" s="208"/>
      <c r="BH19" s="240"/>
      <c r="BI19" s="148"/>
      <c r="BM19" s="204"/>
      <c r="BP19" s="144"/>
      <c r="BR19" s="144"/>
      <c r="BT19" s="204"/>
      <c r="BU19" s="245"/>
      <c r="BV19" s="246"/>
      <c r="BW19" s="208"/>
      <c r="BX19" s="240"/>
      <c r="BY19" s="148"/>
      <c r="CC19" s="204"/>
      <c r="CF19" s="144"/>
      <c r="CH19" s="144"/>
      <c r="CJ19" s="204"/>
      <c r="CK19" s="245"/>
      <c r="CL19" s="246"/>
      <c r="CM19" s="208"/>
      <c r="CN19" s="240"/>
      <c r="CO19" s="148"/>
      <c r="CS19" s="204"/>
      <c r="CV19" s="144"/>
      <c r="CX19" s="144"/>
      <c r="CZ19" s="204"/>
      <c r="DA19" s="245"/>
      <c r="DB19" s="246"/>
      <c r="DC19" s="208"/>
      <c r="DD19" s="240"/>
      <c r="DE19" s="148"/>
      <c r="DI19" s="204"/>
      <c r="DL19" s="144"/>
      <c r="DN19" s="144"/>
      <c r="DP19" s="204"/>
      <c r="DQ19" s="245"/>
      <c r="DR19" s="246"/>
      <c r="DS19" s="208"/>
      <c r="DT19" s="240"/>
      <c r="DU19" s="148"/>
      <c r="DY19" s="204"/>
      <c r="EB19" s="144"/>
      <c r="ED19" s="144"/>
      <c r="EF19" s="204"/>
      <c r="EG19" s="245"/>
      <c r="EH19" s="246"/>
      <c r="EI19" s="208"/>
      <c r="EJ19" s="240"/>
      <c r="EK19" s="148"/>
      <c r="EO19" s="204"/>
      <c r="ER19" s="144"/>
      <c r="ET19" s="144"/>
      <c r="EV19" s="204"/>
      <c r="EW19" s="245"/>
      <c r="EX19" s="246"/>
      <c r="EY19" s="208"/>
      <c r="EZ19" s="240"/>
      <c r="FA19" s="148"/>
      <c r="FE19" s="204"/>
      <c r="FH19" s="144"/>
      <c r="FJ19" s="144"/>
      <c r="FL19" s="204"/>
      <c r="FM19" s="245"/>
      <c r="FN19" s="246"/>
      <c r="FO19" s="208"/>
      <c r="FP19" s="240"/>
      <c r="FQ19" s="148"/>
      <c r="FU19" s="204"/>
      <c r="FX19" s="144"/>
      <c r="FZ19" s="144"/>
      <c r="GB19" s="204"/>
      <c r="GC19" s="245"/>
      <c r="GD19" s="246"/>
      <c r="GE19" s="208"/>
      <c r="GF19" s="240"/>
      <c r="GG19" s="148"/>
      <c r="GK19" s="204"/>
      <c r="GN19" s="144"/>
      <c r="GP19" s="144"/>
      <c r="GR19" s="204"/>
      <c r="GS19" s="245"/>
      <c r="GT19" s="246"/>
      <c r="GU19" s="208"/>
      <c r="GV19" s="240"/>
      <c r="GW19" s="148"/>
      <c r="HA19" s="204"/>
      <c r="HD19" s="144"/>
      <c r="HF19" s="144"/>
      <c r="HH19" s="204"/>
      <c r="HI19" s="245"/>
      <c r="HJ19" s="246"/>
      <c r="HK19" s="208"/>
      <c r="HL19" s="240"/>
      <c r="HM19" s="148"/>
      <c r="HQ19" s="204"/>
      <c r="HT19" s="144"/>
      <c r="HV19" s="144"/>
      <c r="HX19" s="204"/>
      <c r="HY19" s="245"/>
      <c r="HZ19" s="246"/>
      <c r="IA19" s="208"/>
      <c r="IB19" s="240"/>
      <c r="IC19" s="148"/>
      <c r="IG19" s="204"/>
      <c r="IJ19" s="144"/>
      <c r="IL19" s="144"/>
      <c r="IN19" s="204"/>
      <c r="IO19" s="245"/>
      <c r="IP19" s="246"/>
      <c r="IQ19" s="208"/>
      <c r="IR19" s="240"/>
      <c r="IS19" s="148"/>
    </row>
    <row r="20" spans="1:253" s="238" customFormat="1" ht="15">
      <c r="A20" s="590"/>
      <c r="B20" s="477">
        <v>4</v>
      </c>
      <c r="C20" s="477" t="s">
        <v>3</v>
      </c>
      <c r="D20" s="474">
        <v>5</v>
      </c>
      <c r="E20" s="48">
        <f>D20/27</f>
        <v>0.18518518518518517</v>
      </c>
      <c r="F20" s="474">
        <v>70</v>
      </c>
      <c r="G20" s="474">
        <v>46</v>
      </c>
      <c r="H20" s="65">
        <f>G20/58</f>
        <v>0.7931034482758621</v>
      </c>
      <c r="I20" s="474"/>
      <c r="J20" s="65"/>
      <c r="K20" s="474">
        <v>5</v>
      </c>
      <c r="L20" s="48">
        <v>1</v>
      </c>
      <c r="M20" s="474">
        <v>70</v>
      </c>
      <c r="N20" s="70"/>
      <c r="O20" s="267"/>
      <c r="P20" s="474"/>
      <c r="Q20" s="295"/>
      <c r="T20" s="144"/>
      <c r="V20" s="144"/>
      <c r="X20" s="204"/>
      <c r="Y20" s="245"/>
      <c r="Z20" s="246"/>
      <c r="AA20" s="208"/>
      <c r="AB20" s="240"/>
      <c r="AC20" s="148"/>
      <c r="AG20" s="204"/>
      <c r="AJ20" s="144"/>
      <c r="AL20" s="144"/>
      <c r="AN20" s="204"/>
      <c r="AO20" s="245"/>
      <c r="AP20" s="246"/>
      <c r="AQ20" s="208"/>
      <c r="AR20" s="240"/>
      <c r="AS20" s="148"/>
      <c r="AW20" s="204"/>
      <c r="AZ20" s="144"/>
      <c r="BB20" s="144"/>
      <c r="BD20" s="204"/>
      <c r="BE20" s="245"/>
      <c r="BF20" s="246"/>
      <c r="BG20" s="208"/>
      <c r="BH20" s="240"/>
      <c r="BI20" s="148"/>
      <c r="BM20" s="204"/>
      <c r="BP20" s="144"/>
      <c r="BR20" s="144"/>
      <c r="BT20" s="204"/>
      <c r="BU20" s="245"/>
      <c r="BV20" s="246"/>
      <c r="BW20" s="208"/>
      <c r="BX20" s="240"/>
      <c r="BY20" s="148"/>
      <c r="CC20" s="204"/>
      <c r="CF20" s="144"/>
      <c r="CH20" s="144"/>
      <c r="CJ20" s="204"/>
      <c r="CK20" s="245"/>
      <c r="CL20" s="246"/>
      <c r="CM20" s="208"/>
      <c r="CN20" s="240"/>
      <c r="CO20" s="148"/>
      <c r="CS20" s="204"/>
      <c r="CV20" s="144"/>
      <c r="CX20" s="144"/>
      <c r="CZ20" s="204"/>
      <c r="DA20" s="245"/>
      <c r="DB20" s="246"/>
      <c r="DC20" s="208"/>
      <c r="DD20" s="240"/>
      <c r="DE20" s="148"/>
      <c r="DI20" s="204"/>
      <c r="DL20" s="144"/>
      <c r="DN20" s="144"/>
      <c r="DP20" s="204"/>
      <c r="DQ20" s="245"/>
      <c r="DR20" s="246"/>
      <c r="DS20" s="208"/>
      <c r="DT20" s="240"/>
      <c r="DU20" s="148"/>
      <c r="DY20" s="204"/>
      <c r="EB20" s="144"/>
      <c r="ED20" s="144"/>
      <c r="EF20" s="204"/>
      <c r="EG20" s="245"/>
      <c r="EH20" s="246"/>
      <c r="EI20" s="208"/>
      <c r="EJ20" s="240"/>
      <c r="EK20" s="148"/>
      <c r="EO20" s="204"/>
      <c r="ER20" s="144"/>
      <c r="ET20" s="144"/>
      <c r="EV20" s="204"/>
      <c r="EW20" s="245"/>
      <c r="EX20" s="246"/>
      <c r="EY20" s="208"/>
      <c r="EZ20" s="240"/>
      <c r="FA20" s="148"/>
      <c r="FE20" s="204"/>
      <c r="FH20" s="144"/>
      <c r="FJ20" s="144"/>
      <c r="FL20" s="204"/>
      <c r="FM20" s="245"/>
      <c r="FN20" s="246"/>
      <c r="FO20" s="208"/>
      <c r="FP20" s="240"/>
      <c r="FQ20" s="148"/>
      <c r="FU20" s="204"/>
      <c r="FX20" s="144"/>
      <c r="FZ20" s="144"/>
      <c r="GB20" s="204"/>
      <c r="GC20" s="245"/>
      <c r="GD20" s="246"/>
      <c r="GE20" s="208"/>
      <c r="GF20" s="240"/>
      <c r="GG20" s="148"/>
      <c r="GK20" s="204"/>
      <c r="GN20" s="144"/>
      <c r="GP20" s="144"/>
      <c r="GR20" s="204"/>
      <c r="GS20" s="245"/>
      <c r="GT20" s="246"/>
      <c r="GU20" s="208"/>
      <c r="GV20" s="240"/>
      <c r="GW20" s="148"/>
      <c r="HA20" s="204"/>
      <c r="HD20" s="144"/>
      <c r="HF20" s="144"/>
      <c r="HH20" s="204"/>
      <c r="HI20" s="245"/>
      <c r="HJ20" s="246"/>
      <c r="HK20" s="208"/>
      <c r="HL20" s="240"/>
      <c r="HM20" s="148"/>
      <c r="HQ20" s="204"/>
      <c r="HT20" s="144"/>
      <c r="HV20" s="144"/>
      <c r="HX20" s="204"/>
      <c r="HY20" s="245"/>
      <c r="HZ20" s="246"/>
      <c r="IA20" s="208"/>
      <c r="IB20" s="240"/>
      <c r="IC20" s="148"/>
      <c r="IG20" s="204"/>
      <c r="IJ20" s="144"/>
      <c r="IL20" s="144"/>
      <c r="IN20" s="204"/>
      <c r="IO20" s="245"/>
      <c r="IP20" s="246"/>
      <c r="IQ20" s="208"/>
      <c r="IR20" s="240"/>
      <c r="IS20" s="148"/>
    </row>
    <row r="21" spans="1:253" s="238" customFormat="1" ht="30">
      <c r="A21" s="590"/>
      <c r="B21" s="477">
        <v>5</v>
      </c>
      <c r="C21" s="477" t="s">
        <v>4</v>
      </c>
      <c r="D21" s="474"/>
      <c r="E21" s="48"/>
      <c r="F21" s="474"/>
      <c r="G21" s="474"/>
      <c r="H21" s="474"/>
      <c r="I21" s="474"/>
      <c r="J21" s="65"/>
      <c r="K21" s="474"/>
      <c r="L21" s="474"/>
      <c r="M21" s="474"/>
      <c r="N21" s="70"/>
      <c r="O21" s="267"/>
      <c r="P21" s="474"/>
      <c r="Q21" s="295"/>
      <c r="T21" s="144"/>
      <c r="V21" s="144"/>
      <c r="X21" s="204"/>
      <c r="Y21" s="245"/>
      <c r="Z21" s="246"/>
      <c r="AA21" s="208"/>
      <c r="AB21" s="240"/>
      <c r="AC21" s="148"/>
      <c r="AG21" s="204"/>
      <c r="AJ21" s="144"/>
      <c r="AL21" s="144"/>
      <c r="AN21" s="204"/>
      <c r="AO21" s="245"/>
      <c r="AP21" s="246"/>
      <c r="AQ21" s="208"/>
      <c r="AR21" s="240"/>
      <c r="AS21" s="148"/>
      <c r="AW21" s="204"/>
      <c r="AZ21" s="144"/>
      <c r="BB21" s="144"/>
      <c r="BD21" s="204"/>
      <c r="BE21" s="245"/>
      <c r="BF21" s="246"/>
      <c r="BG21" s="208"/>
      <c r="BH21" s="240"/>
      <c r="BI21" s="148"/>
      <c r="BM21" s="204"/>
      <c r="BP21" s="144"/>
      <c r="BR21" s="144"/>
      <c r="BT21" s="204"/>
      <c r="BU21" s="245"/>
      <c r="BV21" s="246"/>
      <c r="BW21" s="208"/>
      <c r="BX21" s="240"/>
      <c r="BY21" s="148"/>
      <c r="CC21" s="204"/>
      <c r="CF21" s="144"/>
      <c r="CH21" s="144"/>
      <c r="CJ21" s="204"/>
      <c r="CK21" s="245"/>
      <c r="CL21" s="246"/>
      <c r="CM21" s="208"/>
      <c r="CN21" s="240"/>
      <c r="CO21" s="148"/>
      <c r="CS21" s="204"/>
      <c r="CV21" s="144"/>
      <c r="CX21" s="144"/>
      <c r="CZ21" s="204"/>
      <c r="DA21" s="245"/>
      <c r="DB21" s="246"/>
      <c r="DC21" s="208"/>
      <c r="DD21" s="240"/>
      <c r="DE21" s="148"/>
      <c r="DI21" s="204"/>
      <c r="DL21" s="144"/>
      <c r="DN21" s="144"/>
      <c r="DP21" s="204"/>
      <c r="DQ21" s="245"/>
      <c r="DR21" s="246"/>
      <c r="DS21" s="208"/>
      <c r="DT21" s="240"/>
      <c r="DU21" s="148"/>
      <c r="DY21" s="204"/>
      <c r="EB21" s="144"/>
      <c r="ED21" s="144"/>
      <c r="EF21" s="204"/>
      <c r="EG21" s="245"/>
      <c r="EH21" s="246"/>
      <c r="EI21" s="208"/>
      <c r="EJ21" s="240"/>
      <c r="EK21" s="148"/>
      <c r="EO21" s="204"/>
      <c r="ER21" s="144"/>
      <c r="ET21" s="144"/>
      <c r="EV21" s="204"/>
      <c r="EW21" s="245"/>
      <c r="EX21" s="246"/>
      <c r="EY21" s="208"/>
      <c r="EZ21" s="240"/>
      <c r="FA21" s="148"/>
      <c r="FE21" s="204"/>
      <c r="FH21" s="144"/>
      <c r="FJ21" s="144"/>
      <c r="FL21" s="204"/>
      <c r="FM21" s="245"/>
      <c r="FN21" s="246"/>
      <c r="FO21" s="208"/>
      <c r="FP21" s="240"/>
      <c r="FQ21" s="148"/>
      <c r="FU21" s="204"/>
      <c r="FX21" s="144"/>
      <c r="FZ21" s="144"/>
      <c r="GB21" s="204"/>
      <c r="GC21" s="245"/>
      <c r="GD21" s="246"/>
      <c r="GE21" s="208"/>
      <c r="GF21" s="240"/>
      <c r="GG21" s="148"/>
      <c r="GK21" s="204"/>
      <c r="GN21" s="144"/>
      <c r="GP21" s="144"/>
      <c r="GR21" s="204"/>
      <c r="GS21" s="245"/>
      <c r="GT21" s="246"/>
      <c r="GU21" s="208"/>
      <c r="GV21" s="240"/>
      <c r="GW21" s="148"/>
      <c r="HA21" s="204"/>
      <c r="HD21" s="144"/>
      <c r="HF21" s="144"/>
      <c r="HH21" s="204"/>
      <c r="HI21" s="245"/>
      <c r="HJ21" s="246"/>
      <c r="HK21" s="208"/>
      <c r="HL21" s="240"/>
      <c r="HM21" s="148"/>
      <c r="HQ21" s="204"/>
      <c r="HT21" s="144"/>
      <c r="HV21" s="144"/>
      <c r="HX21" s="204"/>
      <c r="HY21" s="245"/>
      <c r="HZ21" s="246"/>
      <c r="IA21" s="208"/>
      <c r="IB21" s="240"/>
      <c r="IC21" s="148"/>
      <c r="IG21" s="204"/>
      <c r="IJ21" s="144"/>
      <c r="IL21" s="144"/>
      <c r="IN21" s="204"/>
      <c r="IO21" s="245"/>
      <c r="IP21" s="246"/>
      <c r="IQ21" s="208"/>
      <c r="IR21" s="240"/>
      <c r="IS21" s="148"/>
    </row>
    <row r="22" spans="1:253" s="238" customFormat="1" ht="45">
      <c r="A22" s="590"/>
      <c r="B22" s="477">
        <v>6</v>
      </c>
      <c r="C22" s="477" t="s">
        <v>5</v>
      </c>
      <c r="D22" s="474"/>
      <c r="E22" s="48"/>
      <c r="F22" s="474"/>
      <c r="G22" s="474"/>
      <c r="H22" s="474"/>
      <c r="I22" s="474"/>
      <c r="J22" s="65"/>
      <c r="K22" s="474"/>
      <c r="L22" s="474"/>
      <c r="M22" s="474"/>
      <c r="N22" s="70"/>
      <c r="O22" s="267"/>
      <c r="P22" s="474"/>
      <c r="Q22" s="295"/>
      <c r="T22" s="144"/>
      <c r="V22" s="144"/>
      <c r="X22" s="204"/>
      <c r="Y22" s="245"/>
      <c r="Z22" s="246"/>
      <c r="AA22" s="208"/>
      <c r="AB22" s="240"/>
      <c r="AC22" s="148"/>
      <c r="AG22" s="204"/>
      <c r="AJ22" s="144"/>
      <c r="AL22" s="144"/>
      <c r="AN22" s="204"/>
      <c r="AO22" s="245"/>
      <c r="AP22" s="246"/>
      <c r="AQ22" s="208"/>
      <c r="AR22" s="240"/>
      <c r="AS22" s="148"/>
      <c r="AW22" s="204"/>
      <c r="AZ22" s="144"/>
      <c r="BB22" s="144"/>
      <c r="BD22" s="204"/>
      <c r="BE22" s="245"/>
      <c r="BF22" s="246"/>
      <c r="BG22" s="208"/>
      <c r="BH22" s="240"/>
      <c r="BI22" s="148"/>
      <c r="BM22" s="204"/>
      <c r="BP22" s="144"/>
      <c r="BR22" s="144"/>
      <c r="BT22" s="204"/>
      <c r="BU22" s="245"/>
      <c r="BV22" s="246"/>
      <c r="BW22" s="208"/>
      <c r="BX22" s="240"/>
      <c r="BY22" s="148"/>
      <c r="CC22" s="204"/>
      <c r="CF22" s="144"/>
      <c r="CH22" s="144"/>
      <c r="CJ22" s="204"/>
      <c r="CK22" s="245"/>
      <c r="CL22" s="246"/>
      <c r="CM22" s="208"/>
      <c r="CN22" s="240"/>
      <c r="CO22" s="148"/>
      <c r="CS22" s="204"/>
      <c r="CV22" s="144"/>
      <c r="CX22" s="144"/>
      <c r="CZ22" s="204"/>
      <c r="DA22" s="245"/>
      <c r="DB22" s="246"/>
      <c r="DC22" s="208"/>
      <c r="DD22" s="240"/>
      <c r="DE22" s="148"/>
      <c r="DI22" s="204"/>
      <c r="DL22" s="144"/>
      <c r="DN22" s="144"/>
      <c r="DP22" s="204"/>
      <c r="DQ22" s="245"/>
      <c r="DR22" s="246"/>
      <c r="DS22" s="208"/>
      <c r="DT22" s="240"/>
      <c r="DU22" s="148"/>
      <c r="DY22" s="204"/>
      <c r="EB22" s="144"/>
      <c r="ED22" s="144"/>
      <c r="EF22" s="204"/>
      <c r="EG22" s="245"/>
      <c r="EH22" s="246"/>
      <c r="EI22" s="208"/>
      <c r="EJ22" s="240"/>
      <c r="EK22" s="148"/>
      <c r="EO22" s="204"/>
      <c r="ER22" s="144"/>
      <c r="ET22" s="144"/>
      <c r="EV22" s="204"/>
      <c r="EW22" s="245"/>
      <c r="EX22" s="246"/>
      <c r="EY22" s="208"/>
      <c r="EZ22" s="240"/>
      <c r="FA22" s="148"/>
      <c r="FE22" s="204"/>
      <c r="FH22" s="144"/>
      <c r="FJ22" s="144"/>
      <c r="FL22" s="204"/>
      <c r="FM22" s="245"/>
      <c r="FN22" s="246"/>
      <c r="FO22" s="208"/>
      <c r="FP22" s="240"/>
      <c r="FQ22" s="148"/>
      <c r="FU22" s="204"/>
      <c r="FX22" s="144"/>
      <c r="FZ22" s="144"/>
      <c r="GB22" s="204"/>
      <c r="GC22" s="245"/>
      <c r="GD22" s="246"/>
      <c r="GE22" s="208"/>
      <c r="GF22" s="240"/>
      <c r="GG22" s="148"/>
      <c r="GK22" s="204"/>
      <c r="GN22" s="144"/>
      <c r="GP22" s="144"/>
      <c r="GR22" s="204"/>
      <c r="GS22" s="245"/>
      <c r="GT22" s="246"/>
      <c r="GU22" s="208"/>
      <c r="GV22" s="240"/>
      <c r="GW22" s="148"/>
      <c r="HA22" s="204"/>
      <c r="HD22" s="144"/>
      <c r="HF22" s="144"/>
      <c r="HH22" s="204"/>
      <c r="HI22" s="245"/>
      <c r="HJ22" s="246"/>
      <c r="HK22" s="208"/>
      <c r="HL22" s="240"/>
      <c r="HM22" s="148"/>
      <c r="HQ22" s="204"/>
      <c r="HT22" s="144"/>
      <c r="HV22" s="144"/>
      <c r="HX22" s="204"/>
      <c r="HY22" s="245"/>
      <c r="HZ22" s="246"/>
      <c r="IA22" s="208"/>
      <c r="IB22" s="240"/>
      <c r="IC22" s="148"/>
      <c r="IG22" s="204"/>
      <c r="IJ22" s="144"/>
      <c r="IL22" s="144"/>
      <c r="IN22" s="204"/>
      <c r="IO22" s="245"/>
      <c r="IP22" s="246"/>
      <c r="IQ22" s="208"/>
      <c r="IR22" s="240"/>
      <c r="IS22" s="148"/>
    </row>
    <row r="23" spans="1:253" s="238" customFormat="1" ht="15">
      <c r="A23" s="590"/>
      <c r="B23" s="485"/>
      <c r="C23" s="485" t="s">
        <v>6</v>
      </c>
      <c r="D23" s="296">
        <f>SUM(D17:D22)</f>
        <v>9</v>
      </c>
      <c r="E23" s="171">
        <f>D23/108</f>
        <v>0.08333333333333333</v>
      </c>
      <c r="F23" s="283">
        <f>73.11</f>
        <v>73.11</v>
      </c>
      <c r="G23" s="346">
        <f>(201+232)/D23</f>
        <v>48.111111111111114</v>
      </c>
      <c r="H23" s="83">
        <f>G23/58</f>
        <v>0.8295019157088123</v>
      </c>
      <c r="I23" s="296">
        <v>0</v>
      </c>
      <c r="J23" s="83">
        <v>0</v>
      </c>
      <c r="K23" s="296"/>
      <c r="L23" s="83"/>
      <c r="M23" s="68"/>
      <c r="N23" s="269"/>
      <c r="O23" s="267"/>
      <c r="P23" s="296">
        <f>SUM(P18:P22)</f>
        <v>1</v>
      </c>
      <c r="Q23" s="298">
        <f>P23/D23</f>
        <v>0.1111111111111111</v>
      </c>
      <c r="V23" s="144"/>
      <c r="Y23" s="245"/>
      <c r="Z23" s="246"/>
      <c r="AA23" s="208"/>
      <c r="AB23" s="240"/>
      <c r="AC23" s="148"/>
      <c r="AG23" s="204"/>
      <c r="AL23" s="144"/>
      <c r="AO23" s="245"/>
      <c r="AP23" s="246"/>
      <c r="AQ23" s="208"/>
      <c r="AR23" s="240"/>
      <c r="AS23" s="148"/>
      <c r="AW23" s="204"/>
      <c r="BB23" s="144"/>
      <c r="BE23" s="245"/>
      <c r="BF23" s="246"/>
      <c r="BG23" s="208"/>
      <c r="BH23" s="240"/>
      <c r="BI23" s="148"/>
      <c r="BM23" s="204"/>
      <c r="BR23" s="144"/>
      <c r="BU23" s="245"/>
      <c r="BV23" s="246"/>
      <c r="BW23" s="208"/>
      <c r="BX23" s="240"/>
      <c r="BY23" s="148"/>
      <c r="CC23" s="204"/>
      <c r="CH23" s="144"/>
      <c r="CK23" s="245"/>
      <c r="CL23" s="246"/>
      <c r="CM23" s="208"/>
      <c r="CN23" s="240"/>
      <c r="CO23" s="148"/>
      <c r="CS23" s="204"/>
      <c r="CX23" s="144"/>
      <c r="DA23" s="245"/>
      <c r="DB23" s="246"/>
      <c r="DC23" s="208"/>
      <c r="DD23" s="240"/>
      <c r="DE23" s="148"/>
      <c r="DI23" s="204"/>
      <c r="DN23" s="144"/>
      <c r="DQ23" s="245"/>
      <c r="DR23" s="246"/>
      <c r="DS23" s="208"/>
      <c r="DT23" s="240"/>
      <c r="DU23" s="148"/>
      <c r="DY23" s="204"/>
      <c r="ED23" s="144"/>
      <c r="EG23" s="245"/>
      <c r="EH23" s="246"/>
      <c r="EI23" s="208"/>
      <c r="EJ23" s="240"/>
      <c r="EK23" s="148"/>
      <c r="EO23" s="204"/>
      <c r="ET23" s="144"/>
      <c r="EW23" s="245"/>
      <c r="EX23" s="246"/>
      <c r="EY23" s="208"/>
      <c r="EZ23" s="240"/>
      <c r="FA23" s="148"/>
      <c r="FE23" s="204"/>
      <c r="FJ23" s="144"/>
      <c r="FM23" s="245"/>
      <c r="FN23" s="246"/>
      <c r="FO23" s="208"/>
      <c r="FP23" s="240"/>
      <c r="FQ23" s="148"/>
      <c r="FU23" s="204"/>
      <c r="FZ23" s="144"/>
      <c r="GC23" s="245"/>
      <c r="GD23" s="246"/>
      <c r="GE23" s="208"/>
      <c r="GF23" s="240"/>
      <c r="GG23" s="148"/>
      <c r="GK23" s="204"/>
      <c r="GP23" s="144"/>
      <c r="GS23" s="245"/>
      <c r="GT23" s="246"/>
      <c r="GU23" s="208"/>
      <c r="GV23" s="240"/>
      <c r="GW23" s="148"/>
      <c r="HA23" s="204"/>
      <c r="HF23" s="144"/>
      <c r="HI23" s="245"/>
      <c r="HJ23" s="246"/>
      <c r="HK23" s="208"/>
      <c r="HL23" s="240"/>
      <c r="HM23" s="148"/>
      <c r="HQ23" s="204"/>
      <c r="HV23" s="144"/>
      <c r="HY23" s="245"/>
      <c r="HZ23" s="246"/>
      <c r="IA23" s="208"/>
      <c r="IB23" s="240"/>
      <c r="IC23" s="148"/>
      <c r="IG23" s="204"/>
      <c r="IL23" s="144"/>
      <c r="IO23" s="245"/>
      <c r="IP23" s="246"/>
      <c r="IQ23" s="208"/>
      <c r="IR23" s="240"/>
      <c r="IS23" s="148"/>
    </row>
    <row r="24" spans="1:253" s="238" customFormat="1" ht="15">
      <c r="A24" s="590"/>
      <c r="B24" s="485"/>
      <c r="C24" s="485" t="s">
        <v>22</v>
      </c>
      <c r="D24" s="296"/>
      <c r="E24" s="296"/>
      <c r="F24" s="296">
        <v>68.76</v>
      </c>
      <c r="G24" s="296"/>
      <c r="H24" s="297"/>
      <c r="I24" s="296"/>
      <c r="J24" s="296"/>
      <c r="K24" s="296"/>
      <c r="L24" s="296"/>
      <c r="M24" s="296"/>
      <c r="N24" s="296"/>
      <c r="O24" s="267"/>
      <c r="P24" s="296"/>
      <c r="Q24" s="296"/>
      <c r="V24" s="144"/>
      <c r="Y24" s="245"/>
      <c r="Z24" s="246"/>
      <c r="AA24" s="208"/>
      <c r="AB24" s="240"/>
      <c r="AC24" s="148"/>
      <c r="AG24" s="204"/>
      <c r="AL24" s="144"/>
      <c r="AO24" s="245"/>
      <c r="AP24" s="246"/>
      <c r="AQ24" s="208"/>
      <c r="AR24" s="240"/>
      <c r="AS24" s="148"/>
      <c r="AW24" s="204"/>
      <c r="BB24" s="144"/>
      <c r="BE24" s="245"/>
      <c r="BF24" s="246"/>
      <c r="BG24" s="208"/>
      <c r="BH24" s="240"/>
      <c r="BI24" s="148"/>
      <c r="BM24" s="204"/>
      <c r="BR24" s="144"/>
      <c r="BU24" s="245"/>
      <c r="BV24" s="246"/>
      <c r="BW24" s="208"/>
      <c r="BX24" s="240"/>
      <c r="BY24" s="148"/>
      <c r="CC24" s="204"/>
      <c r="CH24" s="144"/>
      <c r="CK24" s="245"/>
      <c r="CL24" s="246"/>
      <c r="CM24" s="208"/>
      <c r="CN24" s="240"/>
      <c r="CO24" s="148"/>
      <c r="CS24" s="204"/>
      <c r="CX24" s="144"/>
      <c r="DA24" s="245"/>
      <c r="DB24" s="246"/>
      <c r="DC24" s="208"/>
      <c r="DD24" s="240"/>
      <c r="DE24" s="148"/>
      <c r="DI24" s="204"/>
      <c r="DN24" s="144"/>
      <c r="DQ24" s="245"/>
      <c r="DR24" s="246"/>
      <c r="DS24" s="208"/>
      <c r="DT24" s="240"/>
      <c r="DU24" s="148"/>
      <c r="DY24" s="204"/>
      <c r="ED24" s="144"/>
      <c r="EG24" s="245"/>
      <c r="EH24" s="246"/>
      <c r="EI24" s="208"/>
      <c r="EJ24" s="240"/>
      <c r="EK24" s="148"/>
      <c r="EO24" s="204"/>
      <c r="ET24" s="144"/>
      <c r="EW24" s="245"/>
      <c r="EX24" s="246"/>
      <c r="EY24" s="208"/>
      <c r="EZ24" s="240"/>
      <c r="FA24" s="148"/>
      <c r="FE24" s="204"/>
      <c r="FJ24" s="144"/>
      <c r="FM24" s="245"/>
      <c r="FN24" s="246"/>
      <c r="FO24" s="208"/>
      <c r="FP24" s="240"/>
      <c r="FQ24" s="148"/>
      <c r="FU24" s="204"/>
      <c r="FZ24" s="144"/>
      <c r="GC24" s="245"/>
      <c r="GD24" s="246"/>
      <c r="GE24" s="208"/>
      <c r="GF24" s="240"/>
      <c r="GG24" s="148"/>
      <c r="GK24" s="204"/>
      <c r="GP24" s="144"/>
      <c r="GS24" s="245"/>
      <c r="GT24" s="246"/>
      <c r="GU24" s="208"/>
      <c r="GV24" s="240"/>
      <c r="GW24" s="148"/>
      <c r="HA24" s="204"/>
      <c r="HF24" s="144"/>
      <c r="HI24" s="245"/>
      <c r="HJ24" s="246"/>
      <c r="HK24" s="208"/>
      <c r="HL24" s="240"/>
      <c r="HM24" s="148"/>
      <c r="HQ24" s="204"/>
      <c r="HV24" s="144"/>
      <c r="HY24" s="245"/>
      <c r="HZ24" s="246"/>
      <c r="IA24" s="208"/>
      <c r="IB24" s="240"/>
      <c r="IC24" s="148"/>
      <c r="IG24" s="204"/>
      <c r="IL24" s="144"/>
      <c r="IO24" s="245"/>
      <c r="IP24" s="246"/>
      <c r="IQ24" s="208"/>
      <c r="IR24" s="240"/>
      <c r="IS24" s="148"/>
    </row>
    <row r="25" spans="1:253" s="238" customFormat="1" ht="15">
      <c r="A25" s="476"/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143"/>
      <c r="S25" s="143"/>
      <c r="T25" s="134"/>
      <c r="U25" s="141"/>
      <c r="V25" s="134"/>
      <c r="W25" s="141"/>
      <c r="X25" s="141"/>
      <c r="Y25" s="145"/>
      <c r="Z25" s="247"/>
      <c r="AA25" s="208"/>
      <c r="AB25" s="146"/>
      <c r="AC25" s="148"/>
      <c r="AD25" s="141"/>
      <c r="AE25" s="141"/>
      <c r="AF25" s="141"/>
      <c r="AG25" s="142"/>
      <c r="AH25" s="143"/>
      <c r="AI25" s="143"/>
      <c r="AJ25" s="134"/>
      <c r="AK25" s="141"/>
      <c r="AL25" s="134"/>
      <c r="AM25" s="141"/>
      <c r="AN25" s="141"/>
      <c r="AO25" s="145"/>
      <c r="AP25" s="247"/>
      <c r="AQ25" s="208"/>
      <c r="AR25" s="146"/>
      <c r="AS25" s="148"/>
      <c r="AT25" s="141"/>
      <c r="AU25" s="141"/>
      <c r="AV25" s="141"/>
      <c r="AW25" s="142"/>
      <c r="AX25" s="143"/>
      <c r="AY25" s="143"/>
      <c r="AZ25" s="134"/>
      <c r="BA25" s="141"/>
      <c r="BB25" s="134"/>
      <c r="BC25" s="141"/>
      <c r="BD25" s="141"/>
      <c r="BE25" s="145"/>
      <c r="BF25" s="247"/>
      <c r="BG25" s="208"/>
      <c r="BH25" s="146"/>
      <c r="BI25" s="148"/>
      <c r="BJ25" s="141"/>
      <c r="BK25" s="141"/>
      <c r="BL25" s="141"/>
      <c r="BM25" s="142"/>
      <c r="BN25" s="143"/>
      <c r="BO25" s="143"/>
      <c r="BP25" s="134"/>
      <c r="BQ25" s="141"/>
      <c r="BR25" s="134"/>
      <c r="BS25" s="141"/>
      <c r="BT25" s="141"/>
      <c r="BU25" s="145"/>
      <c r="BV25" s="247"/>
      <c r="BW25" s="208"/>
      <c r="BX25" s="146"/>
      <c r="BY25" s="148"/>
      <c r="BZ25" s="141"/>
      <c r="CA25" s="141"/>
      <c r="CB25" s="141"/>
      <c r="CC25" s="142"/>
      <c r="CD25" s="143"/>
      <c r="CE25" s="143"/>
      <c r="CF25" s="134"/>
      <c r="CG25" s="141"/>
      <c r="CH25" s="134"/>
      <c r="CI25" s="141"/>
      <c r="CJ25" s="141"/>
      <c r="CK25" s="145"/>
      <c r="CL25" s="247"/>
      <c r="CM25" s="208"/>
      <c r="CN25" s="146"/>
      <c r="CO25" s="148"/>
      <c r="CP25" s="141"/>
      <c r="CQ25" s="141"/>
      <c r="CR25" s="141"/>
      <c r="CS25" s="142"/>
      <c r="CT25" s="143"/>
      <c r="CU25" s="143"/>
      <c r="CV25" s="134"/>
      <c r="CW25" s="141"/>
      <c r="CX25" s="134"/>
      <c r="CY25" s="141"/>
      <c r="CZ25" s="141"/>
      <c r="DA25" s="145"/>
      <c r="DB25" s="247"/>
      <c r="DC25" s="208"/>
      <c r="DD25" s="146"/>
      <c r="DE25" s="148"/>
      <c r="DF25" s="141"/>
      <c r="DG25" s="141"/>
      <c r="DH25" s="141"/>
      <c r="DI25" s="142"/>
      <c r="DJ25" s="143"/>
      <c r="DK25" s="143"/>
      <c r="DL25" s="134"/>
      <c r="DM25" s="141"/>
      <c r="DN25" s="134"/>
      <c r="DO25" s="141"/>
      <c r="DP25" s="141"/>
      <c r="DQ25" s="145"/>
      <c r="DR25" s="247"/>
      <c r="DS25" s="208"/>
      <c r="DT25" s="146"/>
      <c r="DU25" s="148"/>
      <c r="DV25" s="141"/>
      <c r="DW25" s="141"/>
      <c r="DX25" s="141"/>
      <c r="DY25" s="142"/>
      <c r="DZ25" s="143"/>
      <c r="EA25" s="143"/>
      <c r="EB25" s="134"/>
      <c r="EC25" s="141"/>
      <c r="ED25" s="134"/>
      <c r="EE25" s="141"/>
      <c r="EF25" s="141"/>
      <c r="EG25" s="145"/>
      <c r="EH25" s="247"/>
      <c r="EI25" s="208"/>
      <c r="EJ25" s="146"/>
      <c r="EK25" s="148"/>
      <c r="EL25" s="141"/>
      <c r="EM25" s="141"/>
      <c r="EN25" s="141"/>
      <c r="EO25" s="142"/>
      <c r="EP25" s="143"/>
      <c r="EQ25" s="143"/>
      <c r="ER25" s="134"/>
      <c r="ES25" s="141"/>
      <c r="ET25" s="134"/>
      <c r="EU25" s="141"/>
      <c r="EV25" s="141"/>
      <c r="EW25" s="145"/>
      <c r="EX25" s="247"/>
      <c r="EY25" s="208"/>
      <c r="EZ25" s="146"/>
      <c r="FA25" s="148"/>
      <c r="FB25" s="141"/>
      <c r="FC25" s="141"/>
      <c r="FD25" s="141"/>
      <c r="FE25" s="142"/>
      <c r="FF25" s="143"/>
      <c r="FG25" s="143"/>
      <c r="FH25" s="134"/>
      <c r="FI25" s="141"/>
      <c r="FJ25" s="134"/>
      <c r="FK25" s="141"/>
      <c r="FL25" s="141"/>
      <c r="FM25" s="145"/>
      <c r="FN25" s="247"/>
      <c r="FO25" s="208"/>
      <c r="FP25" s="146"/>
      <c r="FQ25" s="148"/>
      <c r="FR25" s="141"/>
      <c r="FS25" s="141"/>
      <c r="FT25" s="141"/>
      <c r="FU25" s="142"/>
      <c r="FV25" s="143"/>
      <c r="FW25" s="143"/>
      <c r="FX25" s="134"/>
      <c r="FY25" s="141"/>
      <c r="FZ25" s="134"/>
      <c r="GA25" s="141"/>
      <c r="GB25" s="141"/>
      <c r="GC25" s="145"/>
      <c r="GD25" s="247"/>
      <c r="GE25" s="208"/>
      <c r="GF25" s="146"/>
      <c r="GG25" s="148"/>
      <c r="GH25" s="141"/>
      <c r="GI25" s="141"/>
      <c r="GJ25" s="141"/>
      <c r="GK25" s="142"/>
      <c r="GL25" s="143"/>
      <c r="GM25" s="143"/>
      <c r="GN25" s="134"/>
      <c r="GO25" s="141"/>
      <c r="GP25" s="134"/>
      <c r="GQ25" s="141"/>
      <c r="GR25" s="141"/>
      <c r="GS25" s="145"/>
      <c r="GT25" s="247"/>
      <c r="GU25" s="208"/>
      <c r="GV25" s="146"/>
      <c r="GW25" s="148"/>
      <c r="GX25" s="141"/>
      <c r="GY25" s="141"/>
      <c r="GZ25" s="141"/>
      <c r="HA25" s="142"/>
      <c r="HB25" s="143"/>
      <c r="HC25" s="143"/>
      <c r="HD25" s="134"/>
      <c r="HE25" s="141"/>
      <c r="HF25" s="134"/>
      <c r="HG25" s="141"/>
      <c r="HH25" s="141"/>
      <c r="HI25" s="145"/>
      <c r="HJ25" s="247"/>
      <c r="HK25" s="208"/>
      <c r="HL25" s="146"/>
      <c r="HM25" s="148"/>
      <c r="HN25" s="141"/>
      <c r="HO25" s="141"/>
      <c r="HP25" s="141"/>
      <c r="HQ25" s="142"/>
      <c r="HR25" s="143"/>
      <c r="HS25" s="143"/>
      <c r="HT25" s="134"/>
      <c r="HU25" s="141"/>
      <c r="HV25" s="134"/>
      <c r="HW25" s="141"/>
      <c r="HX25" s="141"/>
      <c r="HY25" s="145"/>
      <c r="HZ25" s="247"/>
      <c r="IA25" s="208"/>
      <c r="IB25" s="146"/>
      <c r="IC25" s="148"/>
      <c r="ID25" s="141"/>
      <c r="IE25" s="141"/>
      <c r="IF25" s="141"/>
      <c r="IG25" s="142"/>
      <c r="IH25" s="143"/>
      <c r="II25" s="143"/>
      <c r="IJ25" s="134"/>
      <c r="IK25" s="141"/>
      <c r="IL25" s="134"/>
      <c r="IM25" s="141"/>
      <c r="IN25" s="141"/>
      <c r="IO25" s="145"/>
      <c r="IP25" s="247"/>
      <c r="IQ25" s="208"/>
      <c r="IR25" s="146"/>
      <c r="IS25" s="148"/>
    </row>
    <row r="26" spans="1:253" s="238" customFormat="1" ht="15">
      <c r="A26" s="338"/>
      <c r="B26" s="588" t="s">
        <v>196</v>
      </c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345"/>
      <c r="P26" s="339"/>
      <c r="Q26" s="339"/>
      <c r="R26" s="141"/>
      <c r="S26" s="141"/>
      <c r="T26" s="141"/>
      <c r="U26" s="141"/>
      <c r="V26" s="141"/>
      <c r="W26" s="141"/>
      <c r="X26" s="141"/>
      <c r="Y26" s="141"/>
      <c r="Z26" s="139"/>
      <c r="AA26" s="208"/>
      <c r="AB26" s="146"/>
      <c r="AC26" s="146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39"/>
      <c r="AQ26" s="208"/>
      <c r="AR26" s="146"/>
      <c r="AS26" s="146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39"/>
      <c r="BG26" s="208"/>
      <c r="BH26" s="146"/>
      <c r="BI26" s="146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39"/>
      <c r="BW26" s="208"/>
      <c r="BX26" s="146"/>
      <c r="BY26" s="146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39"/>
      <c r="CM26" s="208"/>
      <c r="CN26" s="146"/>
      <c r="CO26" s="146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39"/>
      <c r="DC26" s="208"/>
      <c r="DD26" s="146"/>
      <c r="DE26" s="146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39"/>
      <c r="DS26" s="208"/>
      <c r="DT26" s="146"/>
      <c r="DU26" s="146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39"/>
      <c r="EI26" s="208"/>
      <c r="EJ26" s="146"/>
      <c r="EK26" s="146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39"/>
      <c r="EY26" s="208"/>
      <c r="EZ26" s="146"/>
      <c r="FA26" s="146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39"/>
      <c r="FO26" s="208"/>
      <c r="FP26" s="146"/>
      <c r="FQ26" s="146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39"/>
      <c r="GE26" s="208"/>
      <c r="GF26" s="146"/>
      <c r="GG26" s="146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39"/>
      <c r="GU26" s="208"/>
      <c r="GV26" s="146"/>
      <c r="GW26" s="146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39"/>
      <c r="HK26" s="208"/>
      <c r="HL26" s="146"/>
      <c r="HM26" s="146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39"/>
      <c r="IA26" s="208"/>
      <c r="IB26" s="146"/>
      <c r="IC26" s="146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39"/>
      <c r="IQ26" s="208"/>
      <c r="IR26" s="146"/>
      <c r="IS26" s="146"/>
    </row>
    <row r="27" spans="1:17" s="238" customFormat="1" ht="19.5" customHeight="1">
      <c r="A27" s="590" t="s">
        <v>194</v>
      </c>
      <c r="B27" s="339"/>
      <c r="C27" s="339"/>
      <c r="D27" s="590" t="s">
        <v>7</v>
      </c>
      <c r="E27" s="590"/>
      <c r="F27" s="590" t="s">
        <v>39</v>
      </c>
      <c r="G27" s="592" t="s">
        <v>59</v>
      </c>
      <c r="H27" s="340" t="s">
        <v>61</v>
      </c>
      <c r="I27" s="590" t="s">
        <v>9</v>
      </c>
      <c r="J27" s="590"/>
      <c r="K27" s="590" t="s">
        <v>13</v>
      </c>
      <c r="L27" s="590"/>
      <c r="M27" s="590"/>
      <c r="N27" s="587" t="s">
        <v>203</v>
      </c>
      <c r="O27" s="594"/>
      <c r="P27" s="587" t="s">
        <v>127</v>
      </c>
      <c r="Q27" s="587"/>
    </row>
    <row r="28" spans="1:17" s="238" customFormat="1" ht="92.25" customHeight="1">
      <c r="A28" s="590"/>
      <c r="B28" s="339"/>
      <c r="C28" s="339"/>
      <c r="D28" s="339" t="s">
        <v>8</v>
      </c>
      <c r="E28" s="339" t="s">
        <v>11</v>
      </c>
      <c r="F28" s="590"/>
      <c r="G28" s="593"/>
      <c r="H28" s="341" t="s">
        <v>153</v>
      </c>
      <c r="I28" s="339" t="s">
        <v>8</v>
      </c>
      <c r="J28" s="339" t="s">
        <v>10</v>
      </c>
      <c r="K28" s="339" t="s">
        <v>14</v>
      </c>
      <c r="L28" s="339" t="s">
        <v>12</v>
      </c>
      <c r="M28" s="339" t="s">
        <v>15</v>
      </c>
      <c r="N28" s="342" t="s">
        <v>8</v>
      </c>
      <c r="O28" s="343" t="s">
        <v>10</v>
      </c>
      <c r="P28" s="342" t="s">
        <v>8</v>
      </c>
      <c r="Q28" s="342" t="s">
        <v>10</v>
      </c>
    </row>
    <row r="29" spans="1:17" s="238" customFormat="1" ht="84.75" customHeight="1">
      <c r="A29" s="590"/>
      <c r="B29" s="339">
        <v>1</v>
      </c>
      <c r="C29" s="339" t="s">
        <v>0</v>
      </c>
      <c r="D29" s="342">
        <v>1</v>
      </c>
      <c r="E29" s="48">
        <f>D29/22</f>
        <v>0.045454545454545456</v>
      </c>
      <c r="F29" s="342">
        <v>44</v>
      </c>
      <c r="G29" s="342">
        <v>25</v>
      </c>
      <c r="H29" s="65">
        <f>G29/58</f>
        <v>0.43103448275862066</v>
      </c>
      <c r="I29" s="342">
        <v>0</v>
      </c>
      <c r="J29" s="65">
        <f>I29/D29</f>
        <v>0</v>
      </c>
      <c r="K29" s="342">
        <v>0</v>
      </c>
      <c r="L29" s="48" t="e">
        <f>K29/0</f>
        <v>#DIV/0!</v>
      </c>
      <c r="M29" s="70">
        <v>0</v>
      </c>
      <c r="N29" s="70">
        <v>0</v>
      </c>
      <c r="O29" s="267">
        <f aca="true" t="shared" si="0" ref="O29:O35">N29/D29</f>
        <v>0</v>
      </c>
      <c r="P29" s="342">
        <v>0</v>
      </c>
      <c r="Q29" s="295">
        <f>P29/D29</f>
        <v>0</v>
      </c>
    </row>
    <row r="30" spans="1:17" s="238" customFormat="1" ht="15">
      <c r="A30" s="590"/>
      <c r="B30" s="339">
        <v>2</v>
      </c>
      <c r="C30" s="339" t="s">
        <v>1</v>
      </c>
      <c r="D30" s="342">
        <v>0</v>
      </c>
      <c r="E30" s="48">
        <f>D30/21</f>
        <v>0</v>
      </c>
      <c r="F30" s="342" t="e">
        <f>(55+50)/D30</f>
        <v>#DIV/0!</v>
      </c>
      <c r="G30" s="342">
        <v>0</v>
      </c>
      <c r="H30" s="65">
        <f>G30/58</f>
        <v>0</v>
      </c>
      <c r="I30" s="342">
        <v>0</v>
      </c>
      <c r="J30" s="65">
        <v>0</v>
      </c>
      <c r="K30" s="342">
        <v>0</v>
      </c>
      <c r="L30" s="48" t="e">
        <f>K30/0</f>
        <v>#DIV/0!</v>
      </c>
      <c r="M30" s="70">
        <v>0</v>
      </c>
      <c r="N30" s="70">
        <v>0</v>
      </c>
      <c r="O30" s="267" t="e">
        <f t="shared" si="0"/>
        <v>#DIV/0!</v>
      </c>
      <c r="P30" s="342">
        <v>0</v>
      </c>
      <c r="Q30" s="295">
        <v>0</v>
      </c>
    </row>
    <row r="31" spans="1:17" ht="15">
      <c r="A31" s="590"/>
      <c r="B31" s="339">
        <v>3</v>
      </c>
      <c r="C31" s="339" t="s">
        <v>2</v>
      </c>
      <c r="D31" s="342">
        <v>2</v>
      </c>
      <c r="E31" s="48">
        <f>D31/27</f>
        <v>0.07407407407407407</v>
      </c>
      <c r="F31" s="121">
        <f>138/D31</f>
        <v>69</v>
      </c>
      <c r="G31" s="342">
        <f>92/D31</f>
        <v>46</v>
      </c>
      <c r="H31" s="65">
        <f>G31/58</f>
        <v>0.7931034482758621</v>
      </c>
      <c r="I31" s="342">
        <v>0</v>
      </c>
      <c r="J31" s="65">
        <v>0</v>
      </c>
      <c r="K31" s="342">
        <v>0</v>
      </c>
      <c r="L31" s="48">
        <f>K31/2</f>
        <v>0</v>
      </c>
      <c r="M31" s="70">
        <f>0</f>
        <v>0</v>
      </c>
      <c r="N31" s="70">
        <v>2</v>
      </c>
      <c r="O31" s="415">
        <f t="shared" si="0"/>
        <v>1</v>
      </c>
      <c r="P31" s="342">
        <v>0</v>
      </c>
      <c r="Q31" s="295">
        <f>P31/D31</f>
        <v>0</v>
      </c>
    </row>
    <row r="32" spans="1:17" ht="15">
      <c r="A32" s="590"/>
      <c r="B32" s="339">
        <v>4</v>
      </c>
      <c r="C32" s="339" t="s">
        <v>3</v>
      </c>
      <c r="D32" s="342">
        <v>4</v>
      </c>
      <c r="E32" s="48">
        <f>D32/26</f>
        <v>0.15384615384615385</v>
      </c>
      <c r="F32" s="121">
        <f>262/D32</f>
        <v>65.5</v>
      </c>
      <c r="G32" s="342">
        <f>170/D32</f>
        <v>42.5</v>
      </c>
      <c r="H32" s="65">
        <f>G32/58</f>
        <v>0.7327586206896551</v>
      </c>
      <c r="I32" s="342">
        <v>0</v>
      </c>
      <c r="J32" s="65">
        <f>I32/D32</f>
        <v>0</v>
      </c>
      <c r="K32" s="382">
        <v>4</v>
      </c>
      <c r="L32" s="316">
        <f>K32/4</f>
        <v>1</v>
      </c>
      <c r="M32" s="121">
        <f>262/K32</f>
        <v>65.5</v>
      </c>
      <c r="N32" s="70">
        <v>3</v>
      </c>
      <c r="O32" s="415">
        <f t="shared" si="0"/>
        <v>0.75</v>
      </c>
      <c r="P32" s="342">
        <v>0</v>
      </c>
      <c r="Q32" s="295">
        <f>P32/D32</f>
        <v>0</v>
      </c>
    </row>
    <row r="33" spans="1:17" ht="30">
      <c r="A33" s="590"/>
      <c r="B33" s="339">
        <v>5</v>
      </c>
      <c r="C33" s="339" t="s">
        <v>4</v>
      </c>
      <c r="D33" s="342"/>
      <c r="E33" s="48">
        <f>D33/4</f>
        <v>0</v>
      </c>
      <c r="F33" s="342"/>
      <c r="G33" s="342"/>
      <c r="H33" s="342"/>
      <c r="I33" s="342"/>
      <c r="J33" s="65"/>
      <c r="K33" s="342"/>
      <c r="L33" s="342"/>
      <c r="M33" s="382" t="e">
        <f>262/K33</f>
        <v>#DIV/0!</v>
      </c>
      <c r="N33" s="70">
        <v>0</v>
      </c>
      <c r="O33" s="267" t="e">
        <f t="shared" si="0"/>
        <v>#DIV/0!</v>
      </c>
      <c r="P33" s="342"/>
      <c r="Q33" s="295"/>
    </row>
    <row r="34" spans="1:17" ht="43.5" customHeight="1" hidden="1">
      <c r="A34" s="590"/>
      <c r="B34" s="339">
        <v>6</v>
      </c>
      <c r="C34" s="339" t="s">
        <v>5</v>
      </c>
      <c r="D34" s="342"/>
      <c r="E34" s="48"/>
      <c r="F34" s="342"/>
      <c r="G34" s="342"/>
      <c r="H34" s="342"/>
      <c r="I34" s="342"/>
      <c r="J34" s="65"/>
      <c r="K34" s="342"/>
      <c r="L34" s="342"/>
      <c r="M34" s="382" t="e">
        <f>262/K34</f>
        <v>#DIV/0!</v>
      </c>
      <c r="N34" s="70">
        <v>0</v>
      </c>
      <c r="O34" s="267" t="e">
        <f t="shared" si="0"/>
        <v>#DIV/0!</v>
      </c>
      <c r="P34" s="342"/>
      <c r="Q34" s="295"/>
    </row>
    <row r="35" spans="1:17" s="14" customFormat="1" ht="15">
      <c r="A35" s="590"/>
      <c r="B35" s="290"/>
      <c r="C35" s="290" t="s">
        <v>6</v>
      </c>
      <c r="D35" s="296">
        <f>SUM(D29:D34)</f>
        <v>7</v>
      </c>
      <c r="E35" s="171">
        <f>D35/100</f>
        <v>0.07</v>
      </c>
      <c r="F35" s="283">
        <f>444/D35</f>
        <v>63.42857142857143</v>
      </c>
      <c r="G35" s="149">
        <f>287/D35</f>
        <v>41</v>
      </c>
      <c r="H35" s="83">
        <f>287/(D35*58)</f>
        <v>0.7068965517241379</v>
      </c>
      <c r="I35" s="296">
        <f>SUM(I29:I34)</f>
        <v>0</v>
      </c>
      <c r="J35" s="83">
        <f>I35/D35</f>
        <v>0</v>
      </c>
      <c r="K35" s="296">
        <f>SUM(K29:K34)</f>
        <v>4</v>
      </c>
      <c r="L35" s="83">
        <f>K35/6</f>
        <v>0.6666666666666666</v>
      </c>
      <c r="M35" s="383">
        <f>400/K35</f>
        <v>100</v>
      </c>
      <c r="N35" s="269">
        <f>SUM(N29:N33)</f>
        <v>5</v>
      </c>
      <c r="O35" s="267">
        <f t="shared" si="0"/>
        <v>0.7142857142857143</v>
      </c>
      <c r="P35" s="296">
        <f>SUM(P29:P34)</f>
        <v>0</v>
      </c>
      <c r="Q35" s="295">
        <f>P35/D35</f>
        <v>0</v>
      </c>
    </row>
    <row r="36" spans="1:17" s="22" customFormat="1" ht="15">
      <c r="A36" s="590"/>
      <c r="B36" s="290"/>
      <c r="C36" s="290" t="s">
        <v>22</v>
      </c>
      <c r="D36" s="290"/>
      <c r="E36" s="290"/>
      <c r="F36" s="290">
        <v>62.74</v>
      </c>
      <c r="G36" s="290"/>
      <c r="H36" s="344"/>
      <c r="I36" s="290"/>
      <c r="J36" s="290"/>
      <c r="K36" s="290"/>
      <c r="L36" s="290"/>
      <c r="M36" s="290"/>
      <c r="N36" s="296" t="s">
        <v>179</v>
      </c>
      <c r="O36" s="267"/>
      <c r="P36" s="296"/>
      <c r="Q36" s="296"/>
    </row>
    <row r="37" spans="1:17" ht="15">
      <c r="A37" s="345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</row>
    <row r="38" spans="1:17" ht="75.75" customHeight="1">
      <c r="A38" s="238"/>
      <c r="B38" s="588" t="s">
        <v>154</v>
      </c>
      <c r="C38" s="589"/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P38" s="235"/>
      <c r="Q38" s="235"/>
    </row>
    <row r="39" spans="1:17" ht="76.5" customHeight="1">
      <c r="A39" s="590" t="s">
        <v>140</v>
      </c>
      <c r="B39" s="235"/>
      <c r="C39" s="235"/>
      <c r="D39" s="590" t="s">
        <v>7</v>
      </c>
      <c r="E39" s="590"/>
      <c r="F39" s="590" t="s">
        <v>39</v>
      </c>
      <c r="G39" s="592" t="s">
        <v>59</v>
      </c>
      <c r="H39" s="236" t="s">
        <v>61</v>
      </c>
      <c r="I39" s="590" t="s">
        <v>9</v>
      </c>
      <c r="J39" s="590"/>
      <c r="K39" s="590" t="s">
        <v>13</v>
      </c>
      <c r="L39" s="590"/>
      <c r="M39" s="590"/>
      <c r="N39" s="587" t="s">
        <v>163</v>
      </c>
      <c r="O39" s="594"/>
      <c r="P39" s="587" t="s">
        <v>127</v>
      </c>
      <c r="Q39" s="587"/>
    </row>
    <row r="40" spans="1:17" ht="210">
      <c r="A40" s="590"/>
      <c r="B40" s="235"/>
      <c r="C40" s="235"/>
      <c r="D40" s="235" t="s">
        <v>8</v>
      </c>
      <c r="E40" s="235" t="s">
        <v>11</v>
      </c>
      <c r="F40" s="590"/>
      <c r="G40" s="593"/>
      <c r="H40" s="237" t="s">
        <v>153</v>
      </c>
      <c r="I40" s="235" t="s">
        <v>8</v>
      </c>
      <c r="J40" s="235" t="s">
        <v>10</v>
      </c>
      <c r="K40" s="235" t="s">
        <v>14</v>
      </c>
      <c r="L40" s="235" t="s">
        <v>12</v>
      </c>
      <c r="M40" s="235" t="s">
        <v>15</v>
      </c>
      <c r="N40" s="293" t="s">
        <v>8</v>
      </c>
      <c r="O40" s="288" t="s">
        <v>10</v>
      </c>
      <c r="P40" s="232" t="s">
        <v>8</v>
      </c>
      <c r="Q40" s="232" t="s">
        <v>10</v>
      </c>
    </row>
    <row r="41" spans="1:17" ht="15">
      <c r="A41" s="590"/>
      <c r="B41" s="235">
        <v>1</v>
      </c>
      <c r="C41" s="235" t="s">
        <v>0</v>
      </c>
      <c r="D41" s="235">
        <v>1</v>
      </c>
      <c r="E41" s="7">
        <f>D41/51</f>
        <v>0.0196078431372549</v>
      </c>
      <c r="F41" s="121">
        <v>69</v>
      </c>
      <c r="G41" s="235">
        <v>46</v>
      </c>
      <c r="H41" s="241">
        <f>G41/58</f>
        <v>0.7931034482758621</v>
      </c>
      <c r="I41" s="235">
        <v>0</v>
      </c>
      <c r="J41" s="241">
        <f>I41/D41</f>
        <v>0</v>
      </c>
      <c r="K41" s="235">
        <v>0</v>
      </c>
      <c r="L41" s="7" t="e">
        <f>K41/0</f>
        <v>#DIV/0!</v>
      </c>
      <c r="M41" s="53">
        <v>0</v>
      </c>
      <c r="N41" s="70">
        <v>1</v>
      </c>
      <c r="O41" s="267">
        <f aca="true" t="shared" si="1" ref="O41:O47">N41/D41</f>
        <v>1</v>
      </c>
      <c r="P41" s="232">
        <v>0</v>
      </c>
      <c r="Q41" s="49">
        <f>P41/D41</f>
        <v>0</v>
      </c>
    </row>
    <row r="42" spans="1:17" ht="15">
      <c r="A42" s="590"/>
      <c r="B42" s="235">
        <v>2</v>
      </c>
      <c r="C42" s="235" t="s">
        <v>1</v>
      </c>
      <c r="D42" s="235">
        <v>2</v>
      </c>
      <c r="E42" s="7">
        <f>D42/19</f>
        <v>0.10526315789473684</v>
      </c>
      <c r="F42" s="105">
        <f>(55+50)/D42</f>
        <v>52.5</v>
      </c>
      <c r="G42" s="235">
        <f>(34+30)/D42</f>
        <v>32</v>
      </c>
      <c r="H42" s="241">
        <f>G42/58</f>
        <v>0.5517241379310345</v>
      </c>
      <c r="I42" s="235">
        <v>0</v>
      </c>
      <c r="J42" s="241">
        <v>0</v>
      </c>
      <c r="K42" s="235">
        <v>0</v>
      </c>
      <c r="L42" s="7" t="e">
        <f>K42/0</f>
        <v>#DIV/0!</v>
      </c>
      <c r="M42" s="53">
        <v>0</v>
      </c>
      <c r="N42" s="70">
        <v>0</v>
      </c>
      <c r="O42" s="267">
        <f t="shared" si="1"/>
        <v>0</v>
      </c>
      <c r="P42" s="232">
        <v>0</v>
      </c>
      <c r="Q42" s="49">
        <v>0</v>
      </c>
    </row>
    <row r="43" spans="1:17" ht="15">
      <c r="A43" s="590"/>
      <c r="B43" s="235">
        <v>3</v>
      </c>
      <c r="C43" s="235" t="s">
        <v>2</v>
      </c>
      <c r="D43" s="235">
        <v>2</v>
      </c>
      <c r="E43" s="7">
        <f>D43/25</f>
        <v>0.08</v>
      </c>
      <c r="F43" s="121">
        <f>(56+56)/D43</f>
        <v>56</v>
      </c>
      <c r="G43" s="235">
        <f>(35+35)/D43</f>
        <v>35</v>
      </c>
      <c r="H43" s="241">
        <f>G43/58</f>
        <v>0.603448275862069</v>
      </c>
      <c r="I43" s="235">
        <v>0</v>
      </c>
      <c r="J43" s="241">
        <v>0</v>
      </c>
      <c r="K43" s="235">
        <v>0</v>
      </c>
      <c r="L43" s="7" t="e">
        <f>K43/0</f>
        <v>#DIV/0!</v>
      </c>
      <c r="M43" s="53">
        <v>0</v>
      </c>
      <c r="N43" s="70">
        <v>0</v>
      </c>
      <c r="O43" s="267">
        <f t="shared" si="1"/>
        <v>0</v>
      </c>
      <c r="P43" s="232">
        <v>0</v>
      </c>
      <c r="Q43" s="49">
        <f>P43/D43</f>
        <v>0</v>
      </c>
    </row>
    <row r="44" spans="1:17" ht="15">
      <c r="A44" s="590"/>
      <c r="B44" s="235">
        <v>4</v>
      </c>
      <c r="C44" s="235" t="s">
        <v>3</v>
      </c>
      <c r="D44" s="235">
        <v>1</v>
      </c>
      <c r="E44" s="7">
        <f>D44/25</f>
        <v>0.04</v>
      </c>
      <c r="F44" s="105">
        <f>59/D44</f>
        <v>59</v>
      </c>
      <c r="G44" s="235">
        <f>38/D44</f>
        <v>38</v>
      </c>
      <c r="H44" s="241">
        <f>G44/58</f>
        <v>0.6551724137931034</v>
      </c>
      <c r="I44" s="235">
        <v>0</v>
      </c>
      <c r="J44" s="241">
        <f>I44/D44</f>
        <v>0</v>
      </c>
      <c r="K44" s="235">
        <v>0</v>
      </c>
      <c r="L44" s="7" t="e">
        <f>K44/0</f>
        <v>#DIV/0!</v>
      </c>
      <c r="M44" s="53">
        <v>0</v>
      </c>
      <c r="N44" s="70">
        <v>0</v>
      </c>
      <c r="O44" s="267">
        <f t="shared" si="1"/>
        <v>0</v>
      </c>
      <c r="P44" s="232">
        <v>0</v>
      </c>
      <c r="Q44" s="49">
        <f>P44/D44</f>
        <v>0</v>
      </c>
    </row>
    <row r="45" spans="1:17" ht="30">
      <c r="A45" s="590"/>
      <c r="B45" s="235">
        <v>5</v>
      </c>
      <c r="C45" s="235" t="s">
        <v>4</v>
      </c>
      <c r="D45" s="235"/>
      <c r="E45" s="7">
        <f>D45/5</f>
        <v>0</v>
      </c>
      <c r="F45" s="235"/>
      <c r="G45" s="235"/>
      <c r="H45" s="235"/>
      <c r="I45" s="235"/>
      <c r="J45" s="241"/>
      <c r="K45" s="235"/>
      <c r="L45" s="235"/>
      <c r="M45" s="53"/>
      <c r="N45" s="70">
        <f>SUM(J45:M45)</f>
        <v>0</v>
      </c>
      <c r="O45" s="267" t="e">
        <f t="shared" si="1"/>
        <v>#DIV/0!</v>
      </c>
      <c r="P45" s="232"/>
      <c r="Q45" s="49"/>
    </row>
    <row r="46" spans="1:17" ht="45">
      <c r="A46" s="590"/>
      <c r="B46" s="235">
        <v>6</v>
      </c>
      <c r="C46" s="235" t="s">
        <v>5</v>
      </c>
      <c r="D46" s="235"/>
      <c r="E46" s="7"/>
      <c r="F46" s="235"/>
      <c r="G46" s="235"/>
      <c r="H46" s="235"/>
      <c r="I46" s="235"/>
      <c r="J46" s="241"/>
      <c r="K46" s="235"/>
      <c r="L46" s="235"/>
      <c r="M46" s="53"/>
      <c r="N46" s="70">
        <f>SUM(J46:M46)</f>
        <v>0</v>
      </c>
      <c r="O46" s="267" t="e">
        <f t="shared" si="1"/>
        <v>#DIV/0!</v>
      </c>
      <c r="P46" s="232"/>
      <c r="Q46" s="49"/>
    </row>
    <row r="47" spans="1:17" ht="15">
      <c r="A47" s="590"/>
      <c r="B47" s="6"/>
      <c r="C47" s="6" t="s">
        <v>6</v>
      </c>
      <c r="D47" s="6">
        <f>SUM(D41:D46)</f>
        <v>6</v>
      </c>
      <c r="E47" s="10">
        <f>D47/123</f>
        <v>0.04878048780487805</v>
      </c>
      <c r="F47" s="279">
        <f>345/D47</f>
        <v>57.5</v>
      </c>
      <c r="G47" s="67">
        <f>218/D47</f>
        <v>36.333333333333336</v>
      </c>
      <c r="H47" s="13">
        <f>218/(D47*58)</f>
        <v>0.6264367816091954</v>
      </c>
      <c r="I47" s="6">
        <f>SUM(I41:I46)</f>
        <v>0</v>
      </c>
      <c r="J47" s="13">
        <f>I47/D47</f>
        <v>0</v>
      </c>
      <c r="K47" s="6">
        <f>SUM(K41:K46)</f>
        <v>0</v>
      </c>
      <c r="L47" s="6">
        <v>0</v>
      </c>
      <c r="M47" s="54">
        <v>0</v>
      </c>
      <c r="N47" s="269">
        <f>SUM(N41:N45)</f>
        <v>1</v>
      </c>
      <c r="O47" s="304">
        <f t="shared" si="1"/>
        <v>0.16666666666666666</v>
      </c>
      <c r="P47" s="50">
        <f>SUM(P41:P46)</f>
        <v>0</v>
      </c>
      <c r="Q47" s="49">
        <f>P47/D47</f>
        <v>0</v>
      </c>
    </row>
    <row r="48" spans="1:17" ht="15">
      <c r="A48" s="590"/>
      <c r="B48" s="6"/>
      <c r="C48" s="6" t="s">
        <v>22</v>
      </c>
      <c r="D48" s="6"/>
      <c r="E48" s="6"/>
      <c r="F48" s="6">
        <v>61.91</v>
      </c>
      <c r="G48" s="6"/>
      <c r="H48" s="233"/>
      <c r="I48" s="6"/>
      <c r="J48" s="6"/>
      <c r="K48" s="6"/>
      <c r="L48" s="6"/>
      <c r="M48" s="6"/>
      <c r="N48" s="296" t="s">
        <v>179</v>
      </c>
      <c r="O48" s="267"/>
      <c r="P48" s="50"/>
      <c r="Q48" s="50"/>
    </row>
    <row r="49" spans="1:17" ht="165">
      <c r="A49" s="598" t="s">
        <v>138</v>
      </c>
      <c r="B49" s="16"/>
      <c r="C49" s="16"/>
      <c r="D49" s="590" t="s">
        <v>7</v>
      </c>
      <c r="E49" s="590"/>
      <c r="F49" s="590" t="s">
        <v>39</v>
      </c>
      <c r="G49" s="592" t="s">
        <v>59</v>
      </c>
      <c r="H49" s="79" t="s">
        <v>61</v>
      </c>
      <c r="I49" s="590" t="s">
        <v>9</v>
      </c>
      <c r="J49" s="590"/>
      <c r="K49" s="590" t="s">
        <v>13</v>
      </c>
      <c r="L49" s="590"/>
      <c r="M49" s="590"/>
      <c r="N49" s="587" t="s">
        <v>130</v>
      </c>
      <c r="O49" s="594"/>
      <c r="P49" s="587" t="s">
        <v>127</v>
      </c>
      <c r="Q49" s="587"/>
    </row>
    <row r="50" spans="1:17" ht="210">
      <c r="A50" s="590"/>
      <c r="B50" s="16"/>
      <c r="C50" s="16"/>
      <c r="D50" s="16" t="s">
        <v>8</v>
      </c>
      <c r="E50" s="16" t="s">
        <v>11</v>
      </c>
      <c r="F50" s="590"/>
      <c r="G50" s="593"/>
      <c r="H50" s="78" t="s">
        <v>62</v>
      </c>
      <c r="I50" s="16" t="s">
        <v>8</v>
      </c>
      <c r="J50" s="16" t="s">
        <v>10</v>
      </c>
      <c r="K50" s="16" t="s">
        <v>14</v>
      </c>
      <c r="L50" s="16" t="s">
        <v>12</v>
      </c>
      <c r="M50" s="16" t="s">
        <v>15</v>
      </c>
      <c r="N50" s="293" t="s">
        <v>8</v>
      </c>
      <c r="O50" s="288" t="s">
        <v>10</v>
      </c>
      <c r="P50" s="232" t="s">
        <v>8</v>
      </c>
      <c r="Q50" s="232" t="s">
        <v>10</v>
      </c>
    </row>
    <row r="51" spans="1:17" ht="15">
      <c r="A51" s="590"/>
      <c r="B51" s="16">
        <v>1</v>
      </c>
      <c r="C51" s="16" t="s">
        <v>0</v>
      </c>
      <c r="D51" s="16">
        <v>1</v>
      </c>
      <c r="E51" s="7">
        <f>D51/51</f>
        <v>0.0196078431372549</v>
      </c>
      <c r="F51" s="16">
        <v>63</v>
      </c>
      <c r="G51" s="77">
        <v>29</v>
      </c>
      <c r="H51" s="137">
        <f>G51/42</f>
        <v>0.6904761904761905</v>
      </c>
      <c r="I51" s="16">
        <v>0</v>
      </c>
      <c r="J51" s="12">
        <f>I51/D51</f>
        <v>0</v>
      </c>
      <c r="K51" s="16">
        <v>0</v>
      </c>
      <c r="L51" s="7" t="e">
        <f>K51/0</f>
        <v>#DIV/0!</v>
      </c>
      <c r="M51" s="53">
        <v>0</v>
      </c>
      <c r="N51" s="70">
        <v>1</v>
      </c>
      <c r="O51" s="267">
        <f>N51/D51</f>
        <v>1</v>
      </c>
      <c r="P51" s="232">
        <v>0</v>
      </c>
      <c r="Q51" s="49">
        <f>P51/D51</f>
        <v>0</v>
      </c>
    </row>
    <row r="52" spans="1:17" ht="15">
      <c r="A52" s="590"/>
      <c r="B52" s="16">
        <v>2</v>
      </c>
      <c r="C52" s="16" t="s">
        <v>1</v>
      </c>
      <c r="D52" s="16">
        <v>2</v>
      </c>
      <c r="E52" s="7">
        <f>D52/20</f>
        <v>0.1</v>
      </c>
      <c r="F52" s="16">
        <f>(73+73)/D52</f>
        <v>73</v>
      </c>
      <c r="G52" s="77">
        <f>(36+36)/D52</f>
        <v>36</v>
      </c>
      <c r="H52" s="137">
        <f>G52/42</f>
        <v>0.8571428571428571</v>
      </c>
      <c r="I52" s="16">
        <v>0</v>
      </c>
      <c r="J52" s="12">
        <v>0</v>
      </c>
      <c r="K52" s="16">
        <v>0</v>
      </c>
      <c r="L52" s="7" t="e">
        <f>K52/0</f>
        <v>#DIV/0!</v>
      </c>
      <c r="M52" s="53">
        <v>0</v>
      </c>
      <c r="N52" s="70">
        <v>2</v>
      </c>
      <c r="O52" s="267">
        <f aca="true" t="shared" si="2" ref="O52:O57">N52/D52</f>
        <v>1</v>
      </c>
      <c r="P52" s="232">
        <v>0</v>
      </c>
      <c r="Q52" s="49">
        <v>0</v>
      </c>
    </row>
    <row r="53" spans="1:17" ht="15">
      <c r="A53" s="590"/>
      <c r="B53" s="16">
        <v>3</v>
      </c>
      <c r="C53" s="16" t="s">
        <v>2</v>
      </c>
      <c r="D53" s="16">
        <v>1</v>
      </c>
      <c r="E53" s="7">
        <f>D53/27</f>
        <v>0.037037037037037035</v>
      </c>
      <c r="F53" s="16">
        <v>54</v>
      </c>
      <c r="G53" s="77">
        <v>23</v>
      </c>
      <c r="H53" s="137">
        <f>G53/42</f>
        <v>0.5476190476190477</v>
      </c>
      <c r="I53" s="16">
        <v>0</v>
      </c>
      <c r="J53" s="12">
        <v>0</v>
      </c>
      <c r="K53" s="16">
        <v>0</v>
      </c>
      <c r="L53" s="7" t="e">
        <f>K53/0</f>
        <v>#DIV/0!</v>
      </c>
      <c r="M53" s="53">
        <v>0</v>
      </c>
      <c r="N53" s="70">
        <v>0</v>
      </c>
      <c r="O53" s="267">
        <f t="shared" si="2"/>
        <v>0</v>
      </c>
      <c r="P53" s="232">
        <v>0</v>
      </c>
      <c r="Q53" s="49">
        <f>P53/D53</f>
        <v>0</v>
      </c>
    </row>
    <row r="54" spans="1:17" ht="15">
      <c r="A54" s="590"/>
      <c r="B54" s="16">
        <v>4</v>
      </c>
      <c r="C54" s="16" t="s">
        <v>3</v>
      </c>
      <c r="D54" s="16">
        <v>2</v>
      </c>
      <c r="E54" s="7">
        <f>D54/28</f>
        <v>0.07142857142857142</v>
      </c>
      <c r="F54" s="16">
        <f>(65+73)/D54</f>
        <v>69</v>
      </c>
      <c r="G54" s="77">
        <f>(30+36)/D54</f>
        <v>33</v>
      </c>
      <c r="H54" s="137">
        <f>G54/42</f>
        <v>0.7857142857142857</v>
      </c>
      <c r="I54" s="16">
        <v>0</v>
      </c>
      <c r="J54" s="12">
        <f>I54/D54</f>
        <v>0</v>
      </c>
      <c r="K54" s="16">
        <v>0</v>
      </c>
      <c r="L54" s="7" t="e">
        <f>K54/0</f>
        <v>#DIV/0!</v>
      </c>
      <c r="M54" s="53">
        <v>0</v>
      </c>
      <c r="N54" s="70">
        <v>2</v>
      </c>
      <c r="O54" s="267">
        <f t="shared" si="2"/>
        <v>1</v>
      </c>
      <c r="P54" s="232">
        <v>0</v>
      </c>
      <c r="Q54" s="49">
        <f>P54/D54</f>
        <v>0</v>
      </c>
    </row>
    <row r="55" spans="1:17" ht="30">
      <c r="A55" s="590"/>
      <c r="B55" s="16">
        <v>5</v>
      </c>
      <c r="C55" s="16" t="s">
        <v>4</v>
      </c>
      <c r="D55" s="16"/>
      <c r="E55" s="7">
        <f>D55/5</f>
        <v>0</v>
      </c>
      <c r="F55" s="16"/>
      <c r="G55" s="77"/>
      <c r="H55" s="77"/>
      <c r="I55" s="16"/>
      <c r="J55" s="12"/>
      <c r="K55" s="16"/>
      <c r="L55" s="16"/>
      <c r="M55" s="53"/>
      <c r="N55" s="70">
        <f>SUM(J55:M55)</f>
        <v>0</v>
      </c>
      <c r="O55" s="267" t="e">
        <f t="shared" si="2"/>
        <v>#DIV/0!</v>
      </c>
      <c r="P55" s="232"/>
      <c r="Q55" s="49"/>
    </row>
    <row r="56" spans="1:17" ht="45">
      <c r="A56" s="590"/>
      <c r="B56" s="16">
        <v>6</v>
      </c>
      <c r="C56" s="16" t="s">
        <v>5</v>
      </c>
      <c r="D56" s="16"/>
      <c r="E56" s="7"/>
      <c r="F56" s="16"/>
      <c r="G56" s="77"/>
      <c r="H56" s="77"/>
      <c r="I56" s="16"/>
      <c r="J56" s="12"/>
      <c r="K56" s="16"/>
      <c r="L56" s="16"/>
      <c r="M56" s="53"/>
      <c r="N56" s="70">
        <f>SUM(J56:M56)</f>
        <v>0</v>
      </c>
      <c r="O56" s="267" t="e">
        <f t="shared" si="2"/>
        <v>#DIV/0!</v>
      </c>
      <c r="P56" s="232"/>
      <c r="Q56" s="49"/>
    </row>
    <row r="57" spans="1:17" ht="15">
      <c r="A57" s="590"/>
      <c r="B57" s="6"/>
      <c r="C57" s="6" t="s">
        <v>6</v>
      </c>
      <c r="D57" s="6">
        <f>SUM(D51:D56)</f>
        <v>6</v>
      </c>
      <c r="E57" s="10">
        <f>D57/100</f>
        <v>0.06</v>
      </c>
      <c r="F57" s="67">
        <f>401/D57</f>
        <v>66.83333333333333</v>
      </c>
      <c r="G57" s="67">
        <f>190/D57</f>
        <v>31.666666666666668</v>
      </c>
      <c r="H57" s="13">
        <f>190/(D57*42)</f>
        <v>0.753968253968254</v>
      </c>
      <c r="I57" s="6">
        <f>SUM(I51:I56)</f>
        <v>0</v>
      </c>
      <c r="J57" s="13">
        <f>I57/D57</f>
        <v>0</v>
      </c>
      <c r="K57" s="6">
        <f>SUM(K51:K56)</f>
        <v>0</v>
      </c>
      <c r="L57" s="6">
        <v>0</v>
      </c>
      <c r="M57" s="54">
        <v>0</v>
      </c>
      <c r="N57" s="269">
        <f>SUM(N51:N55)</f>
        <v>5</v>
      </c>
      <c r="O57" s="267">
        <f t="shared" si="2"/>
        <v>0.8333333333333334</v>
      </c>
      <c r="P57" s="50">
        <f>SUM(P51:P56)</f>
        <v>0</v>
      </c>
      <c r="Q57" s="49">
        <f>P57/D57</f>
        <v>0</v>
      </c>
    </row>
    <row r="58" spans="1:17" ht="15">
      <c r="A58" s="590"/>
      <c r="B58" s="6"/>
      <c r="C58" s="6" t="s">
        <v>22</v>
      </c>
      <c r="D58" s="6"/>
      <c r="E58" s="6"/>
      <c r="F58" s="6">
        <v>62.4</v>
      </c>
      <c r="G58" s="6"/>
      <c r="H58" s="22"/>
      <c r="I58" s="6"/>
      <c r="J58" s="6"/>
      <c r="K58" s="6"/>
      <c r="L58" s="6"/>
      <c r="M58" s="6"/>
      <c r="N58" s="296"/>
      <c r="O58" s="267">
        <v>0.5351</v>
      </c>
      <c r="P58" s="50"/>
      <c r="Q58" s="50"/>
    </row>
  </sheetData>
  <sheetProtection/>
  <mergeCells count="149">
    <mergeCell ref="R2:S2"/>
    <mergeCell ref="P27:Q27"/>
    <mergeCell ref="B26:N26"/>
    <mergeCell ref="A27:A36"/>
    <mergeCell ref="D27:E27"/>
    <mergeCell ref="F27:F28"/>
    <mergeCell ref="G27:G28"/>
    <mergeCell ref="I27:J27"/>
    <mergeCell ref="K27:M27"/>
    <mergeCell ref="N27:O27"/>
    <mergeCell ref="IK17:IL17"/>
    <mergeCell ref="IM17:IO17"/>
    <mergeCell ref="IP17:IQ17"/>
    <mergeCell ref="IR17:IS17"/>
    <mergeCell ref="A39:A48"/>
    <mergeCell ref="A49:A58"/>
    <mergeCell ref="HW17:HY17"/>
    <mergeCell ref="HZ17:IA17"/>
    <mergeCell ref="IB17:IC17"/>
    <mergeCell ref="IF17:IG17"/>
    <mergeCell ref="IH17:IH18"/>
    <mergeCell ref="II17:II18"/>
    <mergeCell ref="HJ17:HK17"/>
    <mergeCell ref="HL17:HM17"/>
    <mergeCell ref="HP17:HQ17"/>
    <mergeCell ref="HR17:HR18"/>
    <mergeCell ref="HS17:HS18"/>
    <mergeCell ref="HU17:HV17"/>
    <mergeCell ref="GV17:GW17"/>
    <mergeCell ref="GZ17:HA17"/>
    <mergeCell ref="HB17:HB18"/>
    <mergeCell ref="HC17:HC18"/>
    <mergeCell ref="HE17:HF17"/>
    <mergeCell ref="HG17:HI17"/>
    <mergeCell ref="GJ17:GK17"/>
    <mergeCell ref="GL17:GL18"/>
    <mergeCell ref="GM17:GM18"/>
    <mergeCell ref="GO17:GP17"/>
    <mergeCell ref="GQ17:GS17"/>
    <mergeCell ref="GT17:GU17"/>
    <mergeCell ref="FV17:FV18"/>
    <mergeCell ref="FW17:FW18"/>
    <mergeCell ref="FY17:FZ17"/>
    <mergeCell ref="GA17:GC17"/>
    <mergeCell ref="GD17:GE17"/>
    <mergeCell ref="GF17:GG17"/>
    <mergeCell ref="FG17:FG18"/>
    <mergeCell ref="FI17:FJ17"/>
    <mergeCell ref="FK17:FM17"/>
    <mergeCell ref="FN17:FO17"/>
    <mergeCell ref="FP17:FQ17"/>
    <mergeCell ref="FT17:FU17"/>
    <mergeCell ref="ES17:ET17"/>
    <mergeCell ref="EU17:EW17"/>
    <mergeCell ref="EX17:EY17"/>
    <mergeCell ref="EZ17:FA17"/>
    <mergeCell ref="FD17:FE17"/>
    <mergeCell ref="FF17:FF18"/>
    <mergeCell ref="EE17:EG17"/>
    <mergeCell ref="EH17:EI17"/>
    <mergeCell ref="EJ17:EK17"/>
    <mergeCell ref="EN17:EO17"/>
    <mergeCell ref="EP17:EP18"/>
    <mergeCell ref="EQ17:EQ18"/>
    <mergeCell ref="DR17:DS17"/>
    <mergeCell ref="DT17:DU17"/>
    <mergeCell ref="DX17:DY17"/>
    <mergeCell ref="DZ17:DZ18"/>
    <mergeCell ref="EA17:EA18"/>
    <mergeCell ref="EC17:ED17"/>
    <mergeCell ref="DD17:DE17"/>
    <mergeCell ref="DH17:DI17"/>
    <mergeCell ref="DJ17:DJ18"/>
    <mergeCell ref="DK17:DK18"/>
    <mergeCell ref="DM17:DN17"/>
    <mergeCell ref="DO17:DQ17"/>
    <mergeCell ref="CR17:CS17"/>
    <mergeCell ref="CT17:CT18"/>
    <mergeCell ref="CU17:CU18"/>
    <mergeCell ref="CW17:CX17"/>
    <mergeCell ref="CY17:DA17"/>
    <mergeCell ref="DB17:DC17"/>
    <mergeCell ref="CD17:CD18"/>
    <mergeCell ref="CE17:CE18"/>
    <mergeCell ref="CG17:CH17"/>
    <mergeCell ref="CI17:CK17"/>
    <mergeCell ref="CL17:CM17"/>
    <mergeCell ref="CN17:CO17"/>
    <mergeCell ref="BO17:BO18"/>
    <mergeCell ref="BQ17:BR17"/>
    <mergeCell ref="BS17:BU17"/>
    <mergeCell ref="BV17:BW17"/>
    <mergeCell ref="BX17:BY17"/>
    <mergeCell ref="CB17:CC17"/>
    <mergeCell ref="BA17:BB17"/>
    <mergeCell ref="BC17:BE17"/>
    <mergeCell ref="BF17:BG17"/>
    <mergeCell ref="BH17:BI17"/>
    <mergeCell ref="BL17:BM17"/>
    <mergeCell ref="BN17:BN18"/>
    <mergeCell ref="AM17:AO17"/>
    <mergeCell ref="AP17:AQ17"/>
    <mergeCell ref="AR17:AS17"/>
    <mergeCell ref="AV17:AW17"/>
    <mergeCell ref="AX17:AX18"/>
    <mergeCell ref="AY17:AY18"/>
    <mergeCell ref="Z17:AA17"/>
    <mergeCell ref="AB17:AC17"/>
    <mergeCell ref="AF17:AG17"/>
    <mergeCell ref="AH17:AH18"/>
    <mergeCell ref="AI17:AI18"/>
    <mergeCell ref="AK17:AL17"/>
    <mergeCell ref="R17:R18"/>
    <mergeCell ref="S17:S18"/>
    <mergeCell ref="U17:V17"/>
    <mergeCell ref="W17:Y17"/>
    <mergeCell ref="D39:E39"/>
    <mergeCell ref="F39:F40"/>
    <mergeCell ref="G39:G40"/>
    <mergeCell ref="I39:J39"/>
    <mergeCell ref="K39:M39"/>
    <mergeCell ref="N39:O39"/>
    <mergeCell ref="P49:Q49"/>
    <mergeCell ref="B38:N38"/>
    <mergeCell ref="D49:E49"/>
    <mergeCell ref="F49:F50"/>
    <mergeCell ref="I49:J49"/>
    <mergeCell ref="K49:M49"/>
    <mergeCell ref="N49:O49"/>
    <mergeCell ref="G49:G50"/>
    <mergeCell ref="P39:Q39"/>
    <mergeCell ref="P15:Q15"/>
    <mergeCell ref="B14:N14"/>
    <mergeCell ref="A15:A24"/>
    <mergeCell ref="D15:E15"/>
    <mergeCell ref="F15:F16"/>
    <mergeCell ref="G15:G16"/>
    <mergeCell ref="I15:J15"/>
    <mergeCell ref="K15:M15"/>
    <mergeCell ref="N15:O15"/>
    <mergeCell ref="P2:Q2"/>
    <mergeCell ref="B1:N1"/>
    <mergeCell ref="A2:A11"/>
    <mergeCell ref="D2:E2"/>
    <mergeCell ref="F2:F3"/>
    <mergeCell ref="G2:G3"/>
    <mergeCell ref="I2:J2"/>
    <mergeCell ref="K2:M2"/>
    <mergeCell ref="N2:O2"/>
  </mergeCells>
  <printOptions/>
  <pageMargins left="0.7" right="0.7" top="0.75" bottom="0.75" header="0.3" footer="0.3"/>
  <pageSetup horizontalDpi="600" verticalDpi="600" orientation="landscape" paperSize="9" scale="50" r:id="rId1"/>
  <rowBreaks count="2" manualBreakCount="2">
    <brk id="36" max="18" man="1"/>
    <brk id="48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R59"/>
  <sheetViews>
    <sheetView view="pageBreakPreview" zoomScaleSheetLayoutView="100" zoomScalePageLayoutView="0" workbookViewId="0" topLeftCell="A1">
      <selection activeCell="S13" sqref="A1:S13"/>
    </sheetView>
  </sheetViews>
  <sheetFormatPr defaultColWidth="9.140625" defaultRowHeight="15"/>
  <cols>
    <col min="1" max="1" width="9.140625" style="255" customWidth="1"/>
    <col min="2" max="2" width="6.421875" style="15" customWidth="1"/>
    <col min="3" max="3" width="15.28125" style="15" customWidth="1"/>
    <col min="4" max="4" width="4.140625" style="15" customWidth="1"/>
    <col min="5" max="5" width="7.140625" style="15" customWidth="1"/>
    <col min="6" max="6" width="8.00390625" style="15" customWidth="1"/>
    <col min="7" max="7" width="5.421875" style="95" customWidth="1"/>
    <col min="8" max="8" width="8.8515625" style="95" customWidth="1"/>
    <col min="9" max="9" width="5.57421875" style="15" customWidth="1"/>
    <col min="10" max="10" width="7.00390625" style="15" customWidth="1"/>
    <col min="11" max="11" width="11.28125" style="15" customWidth="1"/>
    <col min="12" max="12" width="12.57421875" style="15" customWidth="1"/>
    <col min="13" max="13" width="17.421875" style="15" customWidth="1"/>
    <col min="14" max="14" width="5.140625" style="15" customWidth="1"/>
    <col min="15" max="15" width="14.28125" style="15" customWidth="1"/>
    <col min="16" max="16" width="5.140625" style="99" customWidth="1"/>
    <col min="17" max="17" width="14.421875" style="99" customWidth="1"/>
    <col min="18" max="16384" width="9.140625" style="15" customWidth="1"/>
  </cols>
  <sheetData>
    <row r="1" spans="1:17" s="489" customFormat="1" ht="15">
      <c r="A1" s="534"/>
      <c r="B1" s="588" t="s">
        <v>270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34"/>
      <c r="P1" s="537"/>
      <c r="Q1" s="537"/>
    </row>
    <row r="2" spans="1:19" s="489" customFormat="1" ht="92.25" customHeight="1">
      <c r="A2" s="590" t="s">
        <v>256</v>
      </c>
      <c r="B2" s="535"/>
      <c r="C2" s="535"/>
      <c r="D2" s="590" t="s">
        <v>7</v>
      </c>
      <c r="E2" s="590"/>
      <c r="F2" s="590" t="s">
        <v>39</v>
      </c>
      <c r="G2" s="592" t="s">
        <v>20</v>
      </c>
      <c r="H2" s="592" t="s">
        <v>240</v>
      </c>
      <c r="I2" s="590" t="s">
        <v>9</v>
      </c>
      <c r="J2" s="590"/>
      <c r="K2" s="590" t="s">
        <v>13</v>
      </c>
      <c r="L2" s="590"/>
      <c r="M2" s="590"/>
      <c r="N2" s="587" t="s">
        <v>259</v>
      </c>
      <c r="O2" s="587"/>
      <c r="P2" s="587" t="s">
        <v>127</v>
      </c>
      <c r="Q2" s="587"/>
      <c r="R2" s="587" t="s">
        <v>280</v>
      </c>
      <c r="S2" s="587"/>
    </row>
    <row r="3" spans="1:19" s="489" customFormat="1" ht="135">
      <c r="A3" s="590"/>
      <c r="B3" s="535"/>
      <c r="C3" s="535"/>
      <c r="D3" s="535" t="s">
        <v>8</v>
      </c>
      <c r="E3" s="535" t="s">
        <v>11</v>
      </c>
      <c r="F3" s="590"/>
      <c r="G3" s="593"/>
      <c r="H3" s="593"/>
      <c r="I3" s="535" t="s">
        <v>8</v>
      </c>
      <c r="J3" s="535" t="s">
        <v>10</v>
      </c>
      <c r="K3" s="535" t="s">
        <v>14</v>
      </c>
      <c r="L3" s="535" t="s">
        <v>12</v>
      </c>
      <c r="M3" s="535" t="s">
        <v>15</v>
      </c>
      <c r="N3" s="532" t="s">
        <v>8</v>
      </c>
      <c r="O3" s="532" t="s">
        <v>10</v>
      </c>
      <c r="P3" s="532" t="s">
        <v>8</v>
      </c>
      <c r="Q3" s="532" t="s">
        <v>10</v>
      </c>
      <c r="R3" s="553" t="s">
        <v>8</v>
      </c>
      <c r="S3" s="553" t="s">
        <v>10</v>
      </c>
    </row>
    <row r="4" spans="1:19" s="489" customFormat="1" ht="15">
      <c r="A4" s="590"/>
      <c r="B4" s="535">
        <v>1</v>
      </c>
      <c r="C4" s="535" t="s">
        <v>0</v>
      </c>
      <c r="D4" s="532"/>
      <c r="E4" s="48"/>
      <c r="F4" s="68"/>
      <c r="G4" s="68"/>
      <c r="H4" s="499"/>
      <c r="I4" s="532"/>
      <c r="J4" s="499"/>
      <c r="K4" s="532"/>
      <c r="L4" s="48"/>
      <c r="M4" s="94"/>
      <c r="N4" s="532"/>
      <c r="O4" s="306"/>
      <c r="P4" s="106"/>
      <c r="Q4" s="306"/>
      <c r="R4" s="70"/>
      <c r="S4" s="295"/>
    </row>
    <row r="5" spans="1:19" s="489" customFormat="1" ht="15">
      <c r="A5" s="590"/>
      <c r="B5" s="535">
        <v>2</v>
      </c>
      <c r="C5" s="535" t="s">
        <v>1</v>
      </c>
      <c r="D5" s="532">
        <v>1</v>
      </c>
      <c r="E5" s="48">
        <v>0.07</v>
      </c>
      <c r="F5" s="68">
        <v>74</v>
      </c>
      <c r="G5" s="68">
        <v>39</v>
      </c>
      <c r="H5" s="499">
        <v>0.73</v>
      </c>
      <c r="I5" s="532">
        <v>0</v>
      </c>
      <c r="J5" s="499">
        <v>0</v>
      </c>
      <c r="K5" s="532">
        <v>1</v>
      </c>
      <c r="L5" s="499">
        <v>1</v>
      </c>
      <c r="M5" s="532">
        <v>74</v>
      </c>
      <c r="N5" s="532">
        <v>0</v>
      </c>
      <c r="O5" s="306">
        <v>0</v>
      </c>
      <c r="P5" s="106">
        <v>0</v>
      </c>
      <c r="Q5" s="306">
        <v>0</v>
      </c>
      <c r="R5" s="70">
        <v>1</v>
      </c>
      <c r="S5" s="295">
        <v>1</v>
      </c>
    </row>
    <row r="6" spans="1:19" s="489" customFormat="1" ht="15">
      <c r="A6" s="590"/>
      <c r="B6" s="535">
        <v>3</v>
      </c>
      <c r="C6" s="535" t="s">
        <v>2</v>
      </c>
      <c r="D6" s="532">
        <v>6</v>
      </c>
      <c r="E6" s="48">
        <v>0.31</v>
      </c>
      <c r="F6" s="284">
        <v>75</v>
      </c>
      <c r="G6" s="68">
        <v>39</v>
      </c>
      <c r="H6" s="499">
        <v>0.73</v>
      </c>
      <c r="I6" s="532">
        <v>0</v>
      </c>
      <c r="J6" s="499">
        <v>0</v>
      </c>
      <c r="K6" s="532">
        <v>6</v>
      </c>
      <c r="L6" s="48">
        <v>0.75</v>
      </c>
      <c r="M6" s="94">
        <v>75</v>
      </c>
      <c r="N6" s="532">
        <v>0</v>
      </c>
      <c r="O6" s="306">
        <v>0</v>
      </c>
      <c r="P6" s="106">
        <v>3</v>
      </c>
      <c r="Q6" s="417">
        <v>0.5</v>
      </c>
      <c r="R6" s="70">
        <v>5</v>
      </c>
      <c r="S6" s="305">
        <v>0.83</v>
      </c>
    </row>
    <row r="7" spans="1:19" s="489" customFormat="1" ht="15">
      <c r="A7" s="590"/>
      <c r="B7" s="535">
        <v>4</v>
      </c>
      <c r="C7" s="535" t="s">
        <v>3</v>
      </c>
      <c r="D7" s="532">
        <v>2</v>
      </c>
      <c r="E7" s="48">
        <v>0.11</v>
      </c>
      <c r="F7" s="68">
        <v>72</v>
      </c>
      <c r="G7" s="68">
        <v>38</v>
      </c>
      <c r="H7" s="499">
        <v>0.71</v>
      </c>
      <c r="I7" s="532">
        <v>0</v>
      </c>
      <c r="J7" s="499">
        <v>0</v>
      </c>
      <c r="K7" s="532">
        <v>2</v>
      </c>
      <c r="L7" s="314">
        <v>0.33</v>
      </c>
      <c r="M7" s="94">
        <v>72</v>
      </c>
      <c r="N7" s="532">
        <v>0</v>
      </c>
      <c r="O7" s="295">
        <v>0</v>
      </c>
      <c r="P7" s="532">
        <v>1</v>
      </c>
      <c r="Q7" s="295">
        <v>0.5</v>
      </c>
      <c r="R7" s="70">
        <v>2</v>
      </c>
      <c r="S7" s="295">
        <v>1</v>
      </c>
    </row>
    <row r="8" spans="1:19" s="489" customFormat="1" ht="30">
      <c r="A8" s="590"/>
      <c r="B8" s="535">
        <v>5</v>
      </c>
      <c r="C8" s="535" t="s">
        <v>4</v>
      </c>
      <c r="D8" s="532"/>
      <c r="E8" s="48"/>
      <c r="F8" s="68"/>
      <c r="G8" s="68"/>
      <c r="H8" s="532"/>
      <c r="I8" s="532"/>
      <c r="J8" s="499"/>
      <c r="K8" s="532"/>
      <c r="L8" s="532"/>
      <c r="M8" s="532"/>
      <c r="N8" s="532"/>
      <c r="O8" s="295"/>
      <c r="P8" s="532"/>
      <c r="Q8" s="295"/>
      <c r="R8" s="70"/>
      <c r="S8" s="295"/>
    </row>
    <row r="9" spans="1:19" s="489" customFormat="1" ht="30">
      <c r="A9" s="590"/>
      <c r="B9" s="535">
        <v>6</v>
      </c>
      <c r="C9" s="535" t="s">
        <v>5</v>
      </c>
      <c r="D9" s="532"/>
      <c r="E9" s="48"/>
      <c r="F9" s="68"/>
      <c r="G9" s="68"/>
      <c r="H9" s="499"/>
      <c r="I9" s="532"/>
      <c r="J9" s="499"/>
      <c r="K9" s="532"/>
      <c r="L9" s="532"/>
      <c r="M9" s="532"/>
      <c r="N9" s="532"/>
      <c r="O9" s="63"/>
      <c r="P9" s="532"/>
      <c r="Q9" s="295"/>
      <c r="R9" s="70"/>
      <c r="S9" s="295"/>
    </row>
    <row r="10" spans="1:19" s="489" customFormat="1" ht="15">
      <c r="A10" s="590"/>
      <c r="B10" s="538"/>
      <c r="C10" s="538" t="s">
        <v>6</v>
      </c>
      <c r="D10" s="296">
        <f>SUM(D4:D9)</f>
        <v>9</v>
      </c>
      <c r="E10" s="171">
        <v>0.12</v>
      </c>
      <c r="F10" s="280">
        <v>74.33</v>
      </c>
      <c r="G10" s="149">
        <v>39.11</v>
      </c>
      <c r="H10" s="83">
        <v>0.73</v>
      </c>
      <c r="I10" s="296">
        <f>SUM(I4:I9)</f>
        <v>0</v>
      </c>
      <c r="J10" s="83">
        <f>I10/D10</f>
        <v>0</v>
      </c>
      <c r="K10" s="296">
        <f>SUM(K4:K9)</f>
        <v>9</v>
      </c>
      <c r="L10" s="83">
        <v>0.75</v>
      </c>
      <c r="M10" s="149">
        <v>74.33</v>
      </c>
      <c r="N10" s="296">
        <f>SUM(N4:N9)</f>
        <v>0</v>
      </c>
      <c r="O10" s="298">
        <f>N10/D10</f>
        <v>0</v>
      </c>
      <c r="P10" s="296">
        <f>SUM(P4:P9)</f>
        <v>4</v>
      </c>
      <c r="Q10" s="298">
        <v>0.44</v>
      </c>
      <c r="R10" s="269">
        <v>8</v>
      </c>
      <c r="S10" s="302">
        <v>0.88</v>
      </c>
    </row>
    <row r="11" spans="1:19" s="489" customFormat="1" ht="15">
      <c r="A11" s="591"/>
      <c r="B11" s="561"/>
      <c r="C11" s="561" t="s">
        <v>22</v>
      </c>
      <c r="D11" s="296"/>
      <c r="E11" s="296"/>
      <c r="F11" s="425">
        <v>60.14</v>
      </c>
      <c r="G11" s="149"/>
      <c r="H11" s="296"/>
      <c r="I11" s="296"/>
      <c r="J11" s="296">
        <v>1.6</v>
      </c>
      <c r="K11" s="296"/>
      <c r="L11" s="296"/>
      <c r="M11" s="296"/>
      <c r="N11" s="296"/>
      <c r="O11" s="296"/>
      <c r="P11" s="296"/>
      <c r="Q11" s="298">
        <v>0.1027</v>
      </c>
      <c r="R11" s="555"/>
      <c r="S11" s="555"/>
    </row>
    <row r="12" spans="1:19" s="554" customFormat="1" ht="15">
      <c r="A12" s="558"/>
      <c r="B12" s="561"/>
      <c r="C12" s="561" t="s">
        <v>277</v>
      </c>
      <c r="D12" s="296"/>
      <c r="E12" s="296"/>
      <c r="F12" s="425">
        <v>55.06</v>
      </c>
      <c r="G12" s="149"/>
      <c r="H12" s="296"/>
      <c r="I12" s="296"/>
      <c r="J12" s="296">
        <v>6.48</v>
      </c>
      <c r="K12" s="296"/>
      <c r="L12" s="296"/>
      <c r="M12" s="296"/>
      <c r="N12" s="296"/>
      <c r="O12" s="296"/>
      <c r="P12" s="296"/>
      <c r="Q12" s="298">
        <v>0.0977</v>
      </c>
      <c r="R12" s="555"/>
      <c r="S12" s="555"/>
    </row>
    <row r="13" spans="1:19" s="554" customFormat="1" ht="15">
      <c r="A13" s="558"/>
      <c r="B13" s="560"/>
      <c r="C13" s="560"/>
      <c r="D13" s="146"/>
      <c r="E13" s="146"/>
      <c r="F13" s="563"/>
      <c r="G13" s="562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558"/>
      <c r="S13" s="558"/>
    </row>
    <row r="14" spans="2:17" s="489" customFormat="1" ht="15">
      <c r="B14" s="588" t="s">
        <v>239</v>
      </c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P14" s="495"/>
      <c r="Q14" s="297"/>
    </row>
    <row r="15" spans="1:17" s="489" customFormat="1" ht="15">
      <c r="A15" s="590" t="s">
        <v>228</v>
      </c>
      <c r="B15" s="490"/>
      <c r="C15" s="490"/>
      <c r="D15" s="590" t="s">
        <v>7</v>
      </c>
      <c r="E15" s="590"/>
      <c r="F15" s="590" t="s">
        <v>39</v>
      </c>
      <c r="G15" s="592" t="s">
        <v>20</v>
      </c>
      <c r="H15" s="592" t="s">
        <v>240</v>
      </c>
      <c r="I15" s="590" t="s">
        <v>9</v>
      </c>
      <c r="J15" s="590"/>
      <c r="K15" s="590" t="s">
        <v>13</v>
      </c>
      <c r="L15" s="590"/>
      <c r="M15" s="590"/>
      <c r="N15" s="587" t="s">
        <v>249</v>
      </c>
      <c r="O15" s="587"/>
      <c r="P15" s="587" t="s">
        <v>127</v>
      </c>
      <c r="Q15" s="587"/>
    </row>
    <row r="16" spans="1:17" s="386" customFormat="1" ht="135">
      <c r="A16" s="590"/>
      <c r="B16" s="490"/>
      <c r="C16" s="490"/>
      <c r="D16" s="490" t="s">
        <v>8</v>
      </c>
      <c r="E16" s="490" t="s">
        <v>11</v>
      </c>
      <c r="F16" s="590"/>
      <c r="G16" s="593"/>
      <c r="H16" s="593"/>
      <c r="I16" s="490" t="s">
        <v>8</v>
      </c>
      <c r="J16" s="490" t="s">
        <v>10</v>
      </c>
      <c r="K16" s="490" t="s">
        <v>14</v>
      </c>
      <c r="L16" s="490" t="s">
        <v>12</v>
      </c>
      <c r="M16" s="490" t="s">
        <v>15</v>
      </c>
      <c r="N16" s="487" t="s">
        <v>8</v>
      </c>
      <c r="O16" s="487" t="s">
        <v>10</v>
      </c>
      <c r="P16" s="487" t="s">
        <v>8</v>
      </c>
      <c r="Q16" s="487" t="s">
        <v>10</v>
      </c>
    </row>
    <row r="17" spans="1:17" ht="45" customHeight="1">
      <c r="A17" s="590"/>
      <c r="B17" s="490">
        <v>1</v>
      </c>
      <c r="C17" s="490" t="s">
        <v>0</v>
      </c>
      <c r="D17" s="487">
        <v>9</v>
      </c>
      <c r="E17" s="48">
        <f>D17/27</f>
        <v>0.3333333333333333</v>
      </c>
      <c r="F17" s="68">
        <v>59</v>
      </c>
      <c r="G17" s="68">
        <v>29</v>
      </c>
      <c r="H17" s="65">
        <f>G17/53</f>
        <v>0.5471698113207547</v>
      </c>
      <c r="I17" s="487">
        <v>0</v>
      </c>
      <c r="J17" s="65">
        <v>0</v>
      </c>
      <c r="K17" s="487">
        <v>9</v>
      </c>
      <c r="L17" s="48">
        <f>9/13</f>
        <v>0.6923076923076923</v>
      </c>
      <c r="M17" s="94">
        <v>59</v>
      </c>
      <c r="N17" s="487"/>
      <c r="O17" s="306"/>
      <c r="P17" s="106">
        <v>1</v>
      </c>
      <c r="Q17" s="306">
        <f>P17/D17</f>
        <v>0.1111111111111111</v>
      </c>
    </row>
    <row r="18" spans="1:252" s="255" customFormat="1" ht="139.5" customHeight="1">
      <c r="A18" s="590"/>
      <c r="B18" s="490">
        <v>2</v>
      </c>
      <c r="C18" s="490" t="s">
        <v>1</v>
      </c>
      <c r="D18" s="487">
        <v>1</v>
      </c>
      <c r="E18" s="48">
        <f>D18/22</f>
        <v>0.045454545454545456</v>
      </c>
      <c r="F18" s="68">
        <v>60</v>
      </c>
      <c r="G18" s="68">
        <v>31</v>
      </c>
      <c r="H18" s="65">
        <f>G18/53</f>
        <v>0.5849056603773585</v>
      </c>
      <c r="I18" s="487">
        <v>0</v>
      </c>
      <c r="J18" s="65">
        <v>0</v>
      </c>
      <c r="K18" s="487">
        <v>1</v>
      </c>
      <c r="L18" s="65">
        <v>1</v>
      </c>
      <c r="M18" s="487">
        <v>60</v>
      </c>
      <c r="N18" s="487"/>
      <c r="O18" s="306"/>
      <c r="P18" s="106"/>
      <c r="Q18" s="306"/>
      <c r="R18" s="595"/>
      <c r="S18" s="595"/>
      <c r="T18" s="595"/>
      <c r="U18" s="595"/>
      <c r="V18" s="595"/>
      <c r="W18" s="595"/>
      <c r="X18" s="595"/>
      <c r="Y18" s="597"/>
      <c r="Z18" s="597"/>
      <c r="AA18" s="597"/>
      <c r="AB18" s="597"/>
      <c r="AC18" s="248"/>
      <c r="AD18" s="248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6"/>
      <c r="AP18" s="596"/>
      <c r="AQ18" s="597"/>
      <c r="AR18" s="597"/>
      <c r="AS18" s="248"/>
      <c r="AT18" s="248"/>
      <c r="AU18" s="595"/>
      <c r="AV18" s="595"/>
      <c r="AW18" s="595"/>
      <c r="AX18" s="595"/>
      <c r="AY18" s="595"/>
      <c r="AZ18" s="595"/>
      <c r="BA18" s="595"/>
      <c r="BB18" s="595"/>
      <c r="BC18" s="595"/>
      <c r="BD18" s="595"/>
      <c r="BE18" s="596"/>
      <c r="BF18" s="596"/>
      <c r="BG18" s="597"/>
      <c r="BH18" s="597"/>
      <c r="BI18" s="248"/>
      <c r="BJ18" s="248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  <c r="BU18" s="596"/>
      <c r="BV18" s="596"/>
      <c r="BW18" s="597"/>
      <c r="BX18" s="597"/>
      <c r="BY18" s="248"/>
      <c r="BZ18" s="248"/>
      <c r="CA18" s="595"/>
      <c r="CB18" s="595"/>
      <c r="CC18" s="595"/>
      <c r="CD18" s="595"/>
      <c r="CE18" s="595"/>
      <c r="CF18" s="595"/>
      <c r="CG18" s="595"/>
      <c r="CH18" s="595"/>
      <c r="CI18" s="595"/>
      <c r="CJ18" s="595"/>
      <c r="CK18" s="596"/>
      <c r="CL18" s="596"/>
      <c r="CM18" s="597"/>
      <c r="CN18" s="597"/>
      <c r="CO18" s="259"/>
      <c r="CP18" s="251"/>
      <c r="CQ18" s="590"/>
      <c r="CR18" s="590"/>
      <c r="CS18" s="590"/>
      <c r="CT18" s="592"/>
      <c r="CU18" s="592"/>
      <c r="CV18" s="590"/>
      <c r="CW18" s="590"/>
      <c r="CX18" s="590"/>
      <c r="CY18" s="590"/>
      <c r="CZ18" s="590"/>
      <c r="DA18" s="600"/>
      <c r="DB18" s="600"/>
      <c r="DC18" s="587"/>
      <c r="DD18" s="587"/>
      <c r="DE18" s="251"/>
      <c r="DF18" s="251"/>
      <c r="DG18" s="590"/>
      <c r="DH18" s="590"/>
      <c r="DI18" s="590"/>
      <c r="DJ18" s="592"/>
      <c r="DK18" s="592"/>
      <c r="DL18" s="590"/>
      <c r="DM18" s="590"/>
      <c r="DN18" s="590"/>
      <c r="DO18" s="590"/>
      <c r="DP18" s="590"/>
      <c r="DQ18" s="600"/>
      <c r="DR18" s="600"/>
      <c r="DS18" s="587"/>
      <c r="DT18" s="587"/>
      <c r="DU18" s="251"/>
      <c r="DV18" s="251"/>
      <c r="DW18" s="590"/>
      <c r="DX18" s="590"/>
      <c r="DY18" s="590"/>
      <c r="DZ18" s="592"/>
      <c r="EA18" s="592"/>
      <c r="EB18" s="590"/>
      <c r="EC18" s="590"/>
      <c r="ED18" s="590"/>
      <c r="EE18" s="590"/>
      <c r="EF18" s="590"/>
      <c r="EG18" s="600"/>
      <c r="EH18" s="600"/>
      <c r="EI18" s="587"/>
      <c r="EJ18" s="587"/>
      <c r="EK18" s="251"/>
      <c r="EL18" s="251"/>
      <c r="EM18" s="590"/>
      <c r="EN18" s="590"/>
      <c r="EO18" s="590"/>
      <c r="EP18" s="592"/>
      <c r="EQ18" s="592"/>
      <c r="ER18" s="590"/>
      <c r="ES18" s="590"/>
      <c r="ET18" s="590"/>
      <c r="EU18" s="590"/>
      <c r="EV18" s="590"/>
      <c r="EW18" s="600"/>
      <c r="EX18" s="600"/>
      <c r="EY18" s="587"/>
      <c r="EZ18" s="587"/>
      <c r="FA18" s="251"/>
      <c r="FB18" s="251"/>
      <c r="FC18" s="590"/>
      <c r="FD18" s="590"/>
      <c r="FE18" s="590"/>
      <c r="FF18" s="592"/>
      <c r="FG18" s="592"/>
      <c r="FH18" s="590"/>
      <c r="FI18" s="590"/>
      <c r="FJ18" s="590"/>
      <c r="FK18" s="590"/>
      <c r="FL18" s="590"/>
      <c r="FM18" s="600"/>
      <c r="FN18" s="600"/>
      <c r="FO18" s="587"/>
      <c r="FP18" s="587"/>
      <c r="FQ18" s="251"/>
      <c r="FR18" s="251"/>
      <c r="FS18" s="590"/>
      <c r="FT18" s="590"/>
      <c r="FU18" s="590"/>
      <c r="FV18" s="592"/>
      <c r="FW18" s="592"/>
      <c r="FX18" s="590"/>
      <c r="FY18" s="590"/>
      <c r="FZ18" s="590"/>
      <c r="GA18" s="590"/>
      <c r="GB18" s="590"/>
      <c r="GC18" s="600"/>
      <c r="GD18" s="600"/>
      <c r="GE18" s="587"/>
      <c r="GF18" s="587"/>
      <c r="GG18" s="251"/>
      <c r="GH18" s="251"/>
      <c r="GI18" s="590"/>
      <c r="GJ18" s="590"/>
      <c r="GK18" s="590"/>
      <c r="GL18" s="592"/>
      <c r="GM18" s="592"/>
      <c r="GN18" s="590"/>
      <c r="GO18" s="590"/>
      <c r="GP18" s="590"/>
      <c r="GQ18" s="590"/>
      <c r="GR18" s="590"/>
      <c r="GS18" s="600"/>
      <c r="GT18" s="600"/>
      <c r="GU18" s="587"/>
      <c r="GV18" s="587"/>
      <c r="GW18" s="251"/>
      <c r="GX18" s="251"/>
      <c r="GY18" s="590"/>
      <c r="GZ18" s="590"/>
      <c r="HA18" s="590"/>
      <c r="HB18" s="592"/>
      <c r="HC18" s="592"/>
      <c r="HD18" s="590"/>
      <c r="HE18" s="590"/>
      <c r="HF18" s="590"/>
      <c r="HG18" s="590"/>
      <c r="HH18" s="590"/>
      <c r="HI18" s="600"/>
      <c r="HJ18" s="600"/>
      <c r="HK18" s="587"/>
      <c r="HL18" s="587"/>
      <c r="HM18" s="251"/>
      <c r="HN18" s="251"/>
      <c r="HO18" s="590"/>
      <c r="HP18" s="590"/>
      <c r="HQ18" s="590"/>
      <c r="HR18" s="592"/>
      <c r="HS18" s="592"/>
      <c r="HT18" s="590"/>
      <c r="HU18" s="590"/>
      <c r="HV18" s="590"/>
      <c r="HW18" s="590"/>
      <c r="HX18" s="590"/>
      <c r="HY18" s="600"/>
      <c r="HZ18" s="600"/>
      <c r="IA18" s="587"/>
      <c r="IB18" s="587"/>
      <c r="IC18" s="251"/>
      <c r="ID18" s="251"/>
      <c r="IE18" s="590"/>
      <c r="IF18" s="590"/>
      <c r="IG18" s="590"/>
      <c r="IH18" s="592"/>
      <c r="II18" s="592"/>
      <c r="IJ18" s="590"/>
      <c r="IK18" s="590"/>
      <c r="IL18" s="590"/>
      <c r="IM18" s="590"/>
      <c r="IN18" s="590"/>
      <c r="IO18" s="600"/>
      <c r="IP18" s="600"/>
      <c r="IQ18" s="587"/>
      <c r="IR18" s="587"/>
    </row>
    <row r="19" spans="1:252" s="255" customFormat="1" ht="16.5" customHeight="1">
      <c r="A19" s="590"/>
      <c r="B19" s="490">
        <v>3</v>
      </c>
      <c r="C19" s="490" t="s">
        <v>2</v>
      </c>
      <c r="D19" s="487">
        <v>11</v>
      </c>
      <c r="E19" s="48">
        <f>11/29</f>
        <v>0.3793103448275862</v>
      </c>
      <c r="F19" s="68">
        <v>58</v>
      </c>
      <c r="G19" s="68">
        <v>28</v>
      </c>
      <c r="H19" s="65">
        <f>28/53</f>
        <v>0.5283018867924528</v>
      </c>
      <c r="I19" s="487">
        <v>0</v>
      </c>
      <c r="J19" s="65">
        <v>0</v>
      </c>
      <c r="K19" s="487">
        <v>11</v>
      </c>
      <c r="L19" s="48">
        <f>11/16</f>
        <v>0.6875</v>
      </c>
      <c r="M19" s="94">
        <v>58</v>
      </c>
      <c r="N19" s="487"/>
      <c r="O19" s="306"/>
      <c r="P19" s="106"/>
      <c r="Q19" s="306"/>
      <c r="R19" s="595"/>
      <c r="S19" s="595"/>
      <c r="T19" s="248"/>
      <c r="U19" s="248"/>
      <c r="V19" s="248"/>
      <c r="W19" s="248"/>
      <c r="X19" s="248"/>
      <c r="Y19" s="274"/>
      <c r="Z19" s="274"/>
      <c r="AA19" s="250"/>
      <c r="AB19" s="250"/>
      <c r="AC19" s="248"/>
      <c r="AD19" s="248"/>
      <c r="AE19" s="248"/>
      <c r="AF19" s="248"/>
      <c r="AG19" s="595"/>
      <c r="AH19" s="595"/>
      <c r="AI19" s="595"/>
      <c r="AJ19" s="248"/>
      <c r="AK19" s="248"/>
      <c r="AL19" s="248"/>
      <c r="AM19" s="248"/>
      <c r="AN19" s="248"/>
      <c r="AO19" s="249"/>
      <c r="AP19" s="249"/>
      <c r="AQ19" s="250"/>
      <c r="AR19" s="250"/>
      <c r="AS19" s="248"/>
      <c r="AT19" s="248"/>
      <c r="AU19" s="248"/>
      <c r="AV19" s="248"/>
      <c r="AW19" s="595"/>
      <c r="AX19" s="595"/>
      <c r="AY19" s="595"/>
      <c r="AZ19" s="248"/>
      <c r="BA19" s="248"/>
      <c r="BB19" s="248"/>
      <c r="BC19" s="248"/>
      <c r="BD19" s="248"/>
      <c r="BE19" s="249"/>
      <c r="BF19" s="249"/>
      <c r="BG19" s="250"/>
      <c r="BH19" s="250"/>
      <c r="BI19" s="248"/>
      <c r="BJ19" s="248"/>
      <c r="BK19" s="248"/>
      <c r="BL19" s="248"/>
      <c r="BM19" s="595"/>
      <c r="BN19" s="595"/>
      <c r="BO19" s="595"/>
      <c r="BP19" s="248"/>
      <c r="BQ19" s="248"/>
      <c r="BR19" s="248"/>
      <c r="BS19" s="248"/>
      <c r="BT19" s="248"/>
      <c r="BU19" s="249"/>
      <c r="BV19" s="249"/>
      <c r="BW19" s="250"/>
      <c r="BX19" s="250"/>
      <c r="BY19" s="248"/>
      <c r="BZ19" s="248"/>
      <c r="CA19" s="248"/>
      <c r="CB19" s="248"/>
      <c r="CC19" s="595"/>
      <c r="CD19" s="595"/>
      <c r="CE19" s="595"/>
      <c r="CF19" s="248"/>
      <c r="CG19" s="248"/>
      <c r="CH19" s="248"/>
      <c r="CI19" s="248"/>
      <c r="CJ19" s="248"/>
      <c r="CK19" s="249"/>
      <c r="CL19" s="249"/>
      <c r="CM19" s="250"/>
      <c r="CN19" s="250"/>
      <c r="CO19" s="259"/>
      <c r="CP19" s="251"/>
      <c r="CQ19" s="251"/>
      <c r="CR19" s="251"/>
      <c r="CS19" s="590"/>
      <c r="CT19" s="593"/>
      <c r="CU19" s="593"/>
      <c r="CV19" s="251"/>
      <c r="CW19" s="251"/>
      <c r="CX19" s="251"/>
      <c r="CY19" s="251"/>
      <c r="CZ19" s="251"/>
      <c r="DA19" s="253"/>
      <c r="DB19" s="253"/>
      <c r="DC19" s="252"/>
      <c r="DD19" s="252"/>
      <c r="DE19" s="251"/>
      <c r="DF19" s="251"/>
      <c r="DG19" s="251"/>
      <c r="DH19" s="251"/>
      <c r="DI19" s="590"/>
      <c r="DJ19" s="593"/>
      <c r="DK19" s="593"/>
      <c r="DL19" s="251"/>
      <c r="DM19" s="251"/>
      <c r="DN19" s="251"/>
      <c r="DO19" s="251"/>
      <c r="DP19" s="251"/>
      <c r="DQ19" s="253"/>
      <c r="DR19" s="253"/>
      <c r="DS19" s="252"/>
      <c r="DT19" s="252"/>
      <c r="DU19" s="251"/>
      <c r="DV19" s="251"/>
      <c r="DW19" s="251"/>
      <c r="DX19" s="251"/>
      <c r="DY19" s="590"/>
      <c r="DZ19" s="593"/>
      <c r="EA19" s="593"/>
      <c r="EB19" s="251"/>
      <c r="EC19" s="251"/>
      <c r="ED19" s="251"/>
      <c r="EE19" s="251"/>
      <c r="EF19" s="251"/>
      <c r="EG19" s="253"/>
      <c r="EH19" s="253"/>
      <c r="EI19" s="252"/>
      <c r="EJ19" s="252"/>
      <c r="EK19" s="251"/>
      <c r="EL19" s="251"/>
      <c r="EM19" s="251"/>
      <c r="EN19" s="251"/>
      <c r="EO19" s="590"/>
      <c r="EP19" s="593"/>
      <c r="EQ19" s="593"/>
      <c r="ER19" s="251"/>
      <c r="ES19" s="251"/>
      <c r="ET19" s="251"/>
      <c r="EU19" s="251"/>
      <c r="EV19" s="251"/>
      <c r="EW19" s="253"/>
      <c r="EX19" s="253"/>
      <c r="EY19" s="252"/>
      <c r="EZ19" s="252"/>
      <c r="FA19" s="251"/>
      <c r="FB19" s="251"/>
      <c r="FC19" s="251"/>
      <c r="FD19" s="251"/>
      <c r="FE19" s="590"/>
      <c r="FF19" s="593"/>
      <c r="FG19" s="593"/>
      <c r="FH19" s="251"/>
      <c r="FI19" s="251"/>
      <c r="FJ19" s="251"/>
      <c r="FK19" s="251"/>
      <c r="FL19" s="251"/>
      <c r="FM19" s="253"/>
      <c r="FN19" s="253"/>
      <c r="FO19" s="252"/>
      <c r="FP19" s="252"/>
      <c r="FQ19" s="251"/>
      <c r="FR19" s="251"/>
      <c r="FS19" s="251"/>
      <c r="FT19" s="251"/>
      <c r="FU19" s="590"/>
      <c r="FV19" s="593"/>
      <c r="FW19" s="593"/>
      <c r="FX19" s="251"/>
      <c r="FY19" s="251"/>
      <c r="FZ19" s="251"/>
      <c r="GA19" s="251"/>
      <c r="GB19" s="251"/>
      <c r="GC19" s="253"/>
      <c r="GD19" s="253"/>
      <c r="GE19" s="252"/>
      <c r="GF19" s="252"/>
      <c r="GG19" s="251"/>
      <c r="GH19" s="251"/>
      <c r="GI19" s="251"/>
      <c r="GJ19" s="251"/>
      <c r="GK19" s="590"/>
      <c r="GL19" s="593"/>
      <c r="GM19" s="593"/>
      <c r="GN19" s="251"/>
      <c r="GO19" s="251"/>
      <c r="GP19" s="251"/>
      <c r="GQ19" s="251"/>
      <c r="GR19" s="251"/>
      <c r="GS19" s="253"/>
      <c r="GT19" s="253"/>
      <c r="GU19" s="252"/>
      <c r="GV19" s="252"/>
      <c r="GW19" s="251"/>
      <c r="GX19" s="251"/>
      <c r="GY19" s="251"/>
      <c r="GZ19" s="251"/>
      <c r="HA19" s="590"/>
      <c r="HB19" s="593"/>
      <c r="HC19" s="593"/>
      <c r="HD19" s="251"/>
      <c r="HE19" s="251"/>
      <c r="HF19" s="251"/>
      <c r="HG19" s="251"/>
      <c r="HH19" s="251"/>
      <c r="HI19" s="253"/>
      <c r="HJ19" s="253"/>
      <c r="HK19" s="252"/>
      <c r="HL19" s="252"/>
      <c r="HM19" s="251"/>
      <c r="HN19" s="251"/>
      <c r="HO19" s="251"/>
      <c r="HP19" s="251"/>
      <c r="HQ19" s="590"/>
      <c r="HR19" s="593"/>
      <c r="HS19" s="593"/>
      <c r="HT19" s="251"/>
      <c r="HU19" s="251"/>
      <c r="HV19" s="251"/>
      <c r="HW19" s="251"/>
      <c r="HX19" s="251"/>
      <c r="HY19" s="253"/>
      <c r="HZ19" s="253"/>
      <c r="IA19" s="252"/>
      <c r="IB19" s="252"/>
      <c r="IC19" s="251"/>
      <c r="ID19" s="251"/>
      <c r="IE19" s="251"/>
      <c r="IF19" s="251"/>
      <c r="IG19" s="590"/>
      <c r="IH19" s="593"/>
      <c r="II19" s="593"/>
      <c r="IJ19" s="251"/>
      <c r="IK19" s="251"/>
      <c r="IL19" s="251"/>
      <c r="IM19" s="251"/>
      <c r="IN19" s="251"/>
      <c r="IO19" s="253"/>
      <c r="IP19" s="253"/>
      <c r="IQ19" s="252"/>
      <c r="IR19" s="252"/>
    </row>
    <row r="20" spans="1:252" s="255" customFormat="1" ht="15">
      <c r="A20" s="590"/>
      <c r="B20" s="490">
        <v>4</v>
      </c>
      <c r="C20" s="490" t="s">
        <v>3</v>
      </c>
      <c r="D20" s="487">
        <v>2</v>
      </c>
      <c r="E20" s="48">
        <f>2/27</f>
        <v>0.07407407407407407</v>
      </c>
      <c r="F20" s="68">
        <v>56</v>
      </c>
      <c r="G20" s="68">
        <v>28</v>
      </c>
      <c r="H20" s="65">
        <f>28/53</f>
        <v>0.5283018867924528</v>
      </c>
      <c r="I20" s="487">
        <v>0</v>
      </c>
      <c r="J20" s="65">
        <v>0</v>
      </c>
      <c r="K20" s="487">
        <v>2</v>
      </c>
      <c r="L20" s="65">
        <v>1</v>
      </c>
      <c r="M20" s="94">
        <v>56</v>
      </c>
      <c r="N20" s="487"/>
      <c r="O20" s="295"/>
      <c r="P20" s="487"/>
      <c r="Q20" s="295"/>
      <c r="R20" s="205"/>
      <c r="S20" s="144"/>
      <c r="T20" s="248"/>
      <c r="U20" s="144"/>
      <c r="V20" s="248"/>
      <c r="W20" s="204"/>
      <c r="X20" s="207"/>
      <c r="Y20" s="274"/>
      <c r="Z20" s="211"/>
      <c r="AA20" s="250"/>
      <c r="AB20" s="211"/>
      <c r="AC20" s="248"/>
      <c r="AD20" s="248"/>
      <c r="AE20" s="248"/>
      <c r="AF20" s="204"/>
      <c r="AG20" s="205"/>
      <c r="AH20" s="205"/>
      <c r="AI20" s="144"/>
      <c r="AJ20" s="248"/>
      <c r="AK20" s="144"/>
      <c r="AL20" s="248"/>
      <c r="AM20" s="204"/>
      <c r="AN20" s="207"/>
      <c r="AO20" s="249"/>
      <c r="AP20" s="210"/>
      <c r="AQ20" s="250"/>
      <c r="AR20" s="211"/>
      <c r="AS20" s="248"/>
      <c r="AT20" s="248"/>
      <c r="AU20" s="248"/>
      <c r="AV20" s="204"/>
      <c r="AW20" s="205"/>
      <c r="AX20" s="205"/>
      <c r="AY20" s="144"/>
      <c r="AZ20" s="248"/>
      <c r="BA20" s="144"/>
      <c r="BB20" s="248"/>
      <c r="BC20" s="204"/>
      <c r="BD20" s="207"/>
      <c r="BE20" s="249"/>
      <c r="BF20" s="210"/>
      <c r="BG20" s="250"/>
      <c r="BH20" s="211"/>
      <c r="BI20" s="248"/>
      <c r="BJ20" s="248"/>
      <c r="BK20" s="248"/>
      <c r="BL20" s="204"/>
      <c r="BM20" s="205"/>
      <c r="BN20" s="205"/>
      <c r="BO20" s="144"/>
      <c r="BP20" s="248"/>
      <c r="BQ20" s="144"/>
      <c r="BR20" s="248"/>
      <c r="BS20" s="204"/>
      <c r="BT20" s="207"/>
      <c r="BU20" s="249"/>
      <c r="BV20" s="210"/>
      <c r="BW20" s="250"/>
      <c r="BX20" s="211"/>
      <c r="BY20" s="248"/>
      <c r="BZ20" s="248"/>
      <c r="CA20" s="248"/>
      <c r="CB20" s="204"/>
      <c r="CC20" s="205"/>
      <c r="CD20" s="205"/>
      <c r="CE20" s="144"/>
      <c r="CF20" s="248"/>
      <c r="CG20" s="144"/>
      <c r="CH20" s="248"/>
      <c r="CI20" s="204"/>
      <c r="CJ20" s="207"/>
      <c r="CK20" s="249"/>
      <c r="CL20" s="210"/>
      <c r="CM20" s="250"/>
      <c r="CN20" s="211"/>
      <c r="CO20" s="259"/>
      <c r="CP20" s="251"/>
      <c r="CQ20" s="251"/>
      <c r="CR20" s="7"/>
      <c r="CS20" s="258"/>
      <c r="CT20" s="258"/>
      <c r="CU20" s="257"/>
      <c r="CV20" s="251"/>
      <c r="CW20" s="257"/>
      <c r="CX20" s="251"/>
      <c r="CY20" s="7"/>
      <c r="CZ20" s="11"/>
      <c r="DA20" s="253"/>
      <c r="DB20" s="30"/>
      <c r="DC20" s="252"/>
      <c r="DD20" s="63"/>
      <c r="DE20" s="251"/>
      <c r="DF20" s="251"/>
      <c r="DG20" s="251"/>
      <c r="DH20" s="7"/>
      <c r="DI20" s="258"/>
      <c r="DJ20" s="258"/>
      <c r="DK20" s="257"/>
      <c r="DL20" s="251"/>
      <c r="DM20" s="257"/>
      <c r="DN20" s="251"/>
      <c r="DO20" s="7"/>
      <c r="DP20" s="11"/>
      <c r="DQ20" s="253"/>
      <c r="DR20" s="30"/>
      <c r="DS20" s="252"/>
      <c r="DT20" s="63"/>
      <c r="DU20" s="251"/>
      <c r="DV20" s="251"/>
      <c r="DW20" s="251"/>
      <c r="DX20" s="7"/>
      <c r="DY20" s="258"/>
      <c r="DZ20" s="258"/>
      <c r="EA20" s="257"/>
      <c r="EB20" s="251"/>
      <c r="EC20" s="257"/>
      <c r="ED20" s="251"/>
      <c r="EE20" s="7"/>
      <c r="EF20" s="11"/>
      <c r="EG20" s="253"/>
      <c r="EH20" s="30"/>
      <c r="EI20" s="252"/>
      <c r="EJ20" s="63"/>
      <c r="EK20" s="251"/>
      <c r="EL20" s="251"/>
      <c r="EM20" s="251"/>
      <c r="EN20" s="7"/>
      <c r="EO20" s="258"/>
      <c r="EP20" s="258"/>
      <c r="EQ20" s="257"/>
      <c r="ER20" s="251"/>
      <c r="ES20" s="257"/>
      <c r="ET20" s="251"/>
      <c r="EU20" s="7"/>
      <c r="EV20" s="11"/>
      <c r="EW20" s="253"/>
      <c r="EX20" s="30"/>
      <c r="EY20" s="252"/>
      <c r="EZ20" s="63"/>
      <c r="FA20" s="251"/>
      <c r="FB20" s="251"/>
      <c r="FC20" s="251"/>
      <c r="FD20" s="7"/>
      <c r="FE20" s="258"/>
      <c r="FF20" s="258"/>
      <c r="FG20" s="257"/>
      <c r="FH20" s="251"/>
      <c r="FI20" s="257"/>
      <c r="FJ20" s="251"/>
      <c r="FK20" s="7"/>
      <c r="FL20" s="11"/>
      <c r="FM20" s="253"/>
      <c r="FN20" s="30"/>
      <c r="FO20" s="252"/>
      <c r="FP20" s="63"/>
      <c r="FQ20" s="251"/>
      <c r="FR20" s="251"/>
      <c r="FS20" s="251"/>
      <c r="FT20" s="7"/>
      <c r="FU20" s="258"/>
      <c r="FV20" s="258"/>
      <c r="FW20" s="257"/>
      <c r="FX20" s="251"/>
      <c r="FY20" s="257"/>
      <c r="FZ20" s="251"/>
      <c r="GA20" s="7"/>
      <c r="GB20" s="11"/>
      <c r="GC20" s="253"/>
      <c r="GD20" s="30"/>
      <c r="GE20" s="252"/>
      <c r="GF20" s="63"/>
      <c r="GG20" s="251"/>
      <c r="GH20" s="251"/>
      <c r="GI20" s="251"/>
      <c r="GJ20" s="7"/>
      <c r="GK20" s="258"/>
      <c r="GL20" s="258"/>
      <c r="GM20" s="257"/>
      <c r="GN20" s="251"/>
      <c r="GO20" s="257"/>
      <c r="GP20" s="251"/>
      <c r="GQ20" s="7"/>
      <c r="GR20" s="11"/>
      <c r="GS20" s="253"/>
      <c r="GT20" s="30"/>
      <c r="GU20" s="252"/>
      <c r="GV20" s="63"/>
      <c r="GW20" s="251"/>
      <c r="GX20" s="251"/>
      <c r="GY20" s="251"/>
      <c r="GZ20" s="7"/>
      <c r="HA20" s="258"/>
      <c r="HB20" s="258"/>
      <c r="HC20" s="257"/>
      <c r="HD20" s="251"/>
      <c r="HE20" s="257"/>
      <c r="HF20" s="251"/>
      <c r="HG20" s="7"/>
      <c r="HH20" s="11"/>
      <c r="HI20" s="253"/>
      <c r="HJ20" s="30"/>
      <c r="HK20" s="252"/>
      <c r="HL20" s="63"/>
      <c r="HM20" s="251"/>
      <c r="HN20" s="251"/>
      <c r="HO20" s="251"/>
      <c r="HP20" s="7"/>
      <c r="HQ20" s="258"/>
      <c r="HR20" s="258"/>
      <c r="HS20" s="257"/>
      <c r="HT20" s="251"/>
      <c r="HU20" s="257"/>
      <c r="HV20" s="251"/>
      <c r="HW20" s="7"/>
      <c r="HX20" s="11"/>
      <c r="HY20" s="253"/>
      <c r="HZ20" s="30"/>
      <c r="IA20" s="252"/>
      <c r="IB20" s="63"/>
      <c r="IC20" s="251"/>
      <c r="ID20" s="251"/>
      <c r="IE20" s="251"/>
      <c r="IF20" s="7"/>
      <c r="IG20" s="258"/>
      <c r="IH20" s="258"/>
      <c r="II20" s="257"/>
      <c r="IJ20" s="251"/>
      <c r="IK20" s="257"/>
      <c r="IL20" s="251"/>
      <c r="IM20" s="7"/>
      <c r="IN20" s="11"/>
      <c r="IO20" s="253"/>
      <c r="IP20" s="30"/>
      <c r="IQ20" s="252"/>
      <c r="IR20" s="63"/>
    </row>
    <row r="21" spans="1:252" s="255" customFormat="1" ht="30">
      <c r="A21" s="590"/>
      <c r="B21" s="490">
        <v>5</v>
      </c>
      <c r="C21" s="490" t="s">
        <v>4</v>
      </c>
      <c r="D21" s="487"/>
      <c r="E21" s="48"/>
      <c r="F21" s="68"/>
      <c r="G21" s="68"/>
      <c r="H21" s="487"/>
      <c r="I21" s="487"/>
      <c r="J21" s="65"/>
      <c r="K21" s="487"/>
      <c r="L21" s="487"/>
      <c r="M21" s="487"/>
      <c r="N21" s="487"/>
      <c r="O21" s="295"/>
      <c r="P21" s="487"/>
      <c r="Q21" s="295"/>
      <c r="R21" s="205"/>
      <c r="S21" s="144"/>
      <c r="T21" s="248"/>
      <c r="U21" s="144"/>
      <c r="V21" s="248"/>
      <c r="W21" s="144"/>
      <c r="X21" s="248"/>
      <c r="Y21" s="274"/>
      <c r="Z21" s="148"/>
      <c r="AA21" s="250"/>
      <c r="AB21" s="148"/>
      <c r="AC21" s="248"/>
      <c r="AD21" s="248"/>
      <c r="AE21" s="248"/>
      <c r="AF21" s="204"/>
      <c r="AG21" s="205"/>
      <c r="AH21" s="205"/>
      <c r="AI21" s="144"/>
      <c r="AJ21" s="248"/>
      <c r="AK21" s="144"/>
      <c r="AL21" s="248"/>
      <c r="AM21" s="144"/>
      <c r="AN21" s="248"/>
      <c r="AO21" s="249"/>
      <c r="AP21" s="208"/>
      <c r="AQ21" s="250"/>
      <c r="AR21" s="148"/>
      <c r="AS21" s="248"/>
      <c r="AT21" s="248"/>
      <c r="AU21" s="248"/>
      <c r="AV21" s="204"/>
      <c r="AW21" s="205"/>
      <c r="AX21" s="205"/>
      <c r="AY21" s="144"/>
      <c r="AZ21" s="248"/>
      <c r="BA21" s="144"/>
      <c r="BB21" s="248"/>
      <c r="BC21" s="144"/>
      <c r="BD21" s="248"/>
      <c r="BE21" s="249"/>
      <c r="BF21" s="208"/>
      <c r="BG21" s="250"/>
      <c r="BH21" s="148"/>
      <c r="BI21" s="248"/>
      <c r="BJ21" s="248"/>
      <c r="BK21" s="248"/>
      <c r="BL21" s="204"/>
      <c r="BM21" s="205"/>
      <c r="BN21" s="205"/>
      <c r="BO21" s="144"/>
      <c r="BP21" s="248"/>
      <c r="BQ21" s="144"/>
      <c r="BR21" s="248"/>
      <c r="BS21" s="144"/>
      <c r="BT21" s="248"/>
      <c r="BU21" s="249"/>
      <c r="BV21" s="208"/>
      <c r="BW21" s="250"/>
      <c r="BX21" s="148"/>
      <c r="BY21" s="248"/>
      <c r="BZ21" s="248"/>
      <c r="CA21" s="248"/>
      <c r="CB21" s="204"/>
      <c r="CC21" s="205"/>
      <c r="CD21" s="205"/>
      <c r="CE21" s="144"/>
      <c r="CF21" s="248"/>
      <c r="CG21" s="144"/>
      <c r="CH21" s="248"/>
      <c r="CI21" s="144"/>
      <c r="CJ21" s="248"/>
      <c r="CK21" s="249"/>
      <c r="CL21" s="208"/>
      <c r="CM21" s="250"/>
      <c r="CN21" s="148"/>
      <c r="CO21" s="259"/>
      <c r="CP21" s="251"/>
      <c r="CQ21" s="251"/>
      <c r="CR21" s="7"/>
      <c r="CS21" s="258"/>
      <c r="CT21" s="258"/>
      <c r="CU21" s="257"/>
      <c r="CV21" s="251"/>
      <c r="CW21" s="257"/>
      <c r="CX21" s="251"/>
      <c r="CY21" s="257"/>
      <c r="CZ21" s="251"/>
      <c r="DA21" s="253"/>
      <c r="DB21" s="28"/>
      <c r="DC21" s="252"/>
      <c r="DD21" s="49"/>
      <c r="DE21" s="251"/>
      <c r="DF21" s="251"/>
      <c r="DG21" s="251"/>
      <c r="DH21" s="7"/>
      <c r="DI21" s="258"/>
      <c r="DJ21" s="258"/>
      <c r="DK21" s="257"/>
      <c r="DL21" s="251"/>
      <c r="DM21" s="257"/>
      <c r="DN21" s="251"/>
      <c r="DO21" s="257"/>
      <c r="DP21" s="251"/>
      <c r="DQ21" s="253"/>
      <c r="DR21" s="28"/>
      <c r="DS21" s="252"/>
      <c r="DT21" s="49"/>
      <c r="DU21" s="251"/>
      <c r="DV21" s="251"/>
      <c r="DW21" s="251"/>
      <c r="DX21" s="7"/>
      <c r="DY21" s="258"/>
      <c r="DZ21" s="258"/>
      <c r="EA21" s="257"/>
      <c r="EB21" s="251"/>
      <c r="EC21" s="257"/>
      <c r="ED21" s="251"/>
      <c r="EE21" s="257"/>
      <c r="EF21" s="251"/>
      <c r="EG21" s="253"/>
      <c r="EH21" s="28"/>
      <c r="EI21" s="252"/>
      <c r="EJ21" s="49"/>
      <c r="EK21" s="251"/>
      <c r="EL21" s="251"/>
      <c r="EM21" s="251"/>
      <c r="EN21" s="7"/>
      <c r="EO21" s="258"/>
      <c r="EP21" s="258"/>
      <c r="EQ21" s="257"/>
      <c r="ER21" s="251"/>
      <c r="ES21" s="257"/>
      <c r="ET21" s="251"/>
      <c r="EU21" s="257"/>
      <c r="EV21" s="251"/>
      <c r="EW21" s="253"/>
      <c r="EX21" s="28"/>
      <c r="EY21" s="252"/>
      <c r="EZ21" s="49"/>
      <c r="FA21" s="251"/>
      <c r="FB21" s="251"/>
      <c r="FC21" s="251"/>
      <c r="FD21" s="7"/>
      <c r="FE21" s="258"/>
      <c r="FF21" s="258"/>
      <c r="FG21" s="257"/>
      <c r="FH21" s="251"/>
      <c r="FI21" s="257"/>
      <c r="FJ21" s="251"/>
      <c r="FK21" s="257"/>
      <c r="FL21" s="251"/>
      <c r="FM21" s="253"/>
      <c r="FN21" s="28"/>
      <c r="FO21" s="252"/>
      <c r="FP21" s="49"/>
      <c r="FQ21" s="251"/>
      <c r="FR21" s="251"/>
      <c r="FS21" s="251"/>
      <c r="FT21" s="7"/>
      <c r="FU21" s="258"/>
      <c r="FV21" s="258"/>
      <c r="FW21" s="257"/>
      <c r="FX21" s="251"/>
      <c r="FY21" s="257"/>
      <c r="FZ21" s="251"/>
      <c r="GA21" s="257"/>
      <c r="GB21" s="251"/>
      <c r="GC21" s="253"/>
      <c r="GD21" s="28"/>
      <c r="GE21" s="252"/>
      <c r="GF21" s="49"/>
      <c r="GG21" s="251"/>
      <c r="GH21" s="251"/>
      <c r="GI21" s="251"/>
      <c r="GJ21" s="7"/>
      <c r="GK21" s="258"/>
      <c r="GL21" s="258"/>
      <c r="GM21" s="257"/>
      <c r="GN21" s="251"/>
      <c r="GO21" s="257"/>
      <c r="GP21" s="251"/>
      <c r="GQ21" s="257"/>
      <c r="GR21" s="251"/>
      <c r="GS21" s="253"/>
      <c r="GT21" s="28"/>
      <c r="GU21" s="252"/>
      <c r="GV21" s="49"/>
      <c r="GW21" s="251"/>
      <c r="GX21" s="251"/>
      <c r="GY21" s="251"/>
      <c r="GZ21" s="7"/>
      <c r="HA21" s="258"/>
      <c r="HB21" s="258"/>
      <c r="HC21" s="257"/>
      <c r="HD21" s="251"/>
      <c r="HE21" s="257"/>
      <c r="HF21" s="251"/>
      <c r="HG21" s="257"/>
      <c r="HH21" s="251"/>
      <c r="HI21" s="253"/>
      <c r="HJ21" s="28"/>
      <c r="HK21" s="252"/>
      <c r="HL21" s="49"/>
      <c r="HM21" s="251"/>
      <c r="HN21" s="251"/>
      <c r="HO21" s="251"/>
      <c r="HP21" s="7"/>
      <c r="HQ21" s="258"/>
      <c r="HR21" s="258"/>
      <c r="HS21" s="257"/>
      <c r="HT21" s="251"/>
      <c r="HU21" s="257"/>
      <c r="HV21" s="251"/>
      <c r="HW21" s="257"/>
      <c r="HX21" s="251"/>
      <c r="HY21" s="253"/>
      <c r="HZ21" s="28"/>
      <c r="IA21" s="252"/>
      <c r="IB21" s="49"/>
      <c r="IC21" s="251"/>
      <c r="ID21" s="251"/>
      <c r="IE21" s="251"/>
      <c r="IF21" s="7"/>
      <c r="IG21" s="258"/>
      <c r="IH21" s="258"/>
      <c r="II21" s="257"/>
      <c r="IJ21" s="251"/>
      <c r="IK21" s="257"/>
      <c r="IL21" s="251"/>
      <c r="IM21" s="257"/>
      <c r="IN21" s="251"/>
      <c r="IO21" s="253"/>
      <c r="IP21" s="28"/>
      <c r="IQ21" s="252"/>
      <c r="IR21" s="49"/>
    </row>
    <row r="22" spans="1:252" s="255" customFormat="1" ht="30">
      <c r="A22" s="590"/>
      <c r="B22" s="490">
        <v>6</v>
      </c>
      <c r="C22" s="490" t="s">
        <v>5</v>
      </c>
      <c r="D22" s="487"/>
      <c r="E22" s="48"/>
      <c r="F22" s="68"/>
      <c r="G22" s="68"/>
      <c r="H22" s="65"/>
      <c r="I22" s="487"/>
      <c r="J22" s="65"/>
      <c r="K22" s="487"/>
      <c r="L22" s="487"/>
      <c r="M22" s="487"/>
      <c r="N22" s="487"/>
      <c r="O22" s="63"/>
      <c r="P22" s="487"/>
      <c r="Q22" s="295"/>
      <c r="R22" s="205"/>
      <c r="S22" s="144"/>
      <c r="T22" s="248"/>
      <c r="U22" s="144"/>
      <c r="V22" s="248"/>
      <c r="W22" s="204"/>
      <c r="X22" s="207"/>
      <c r="Y22" s="274"/>
      <c r="Z22" s="211"/>
      <c r="AA22" s="250"/>
      <c r="AB22" s="211"/>
      <c r="AC22" s="248"/>
      <c r="AD22" s="248"/>
      <c r="AE22" s="248"/>
      <c r="AF22" s="204"/>
      <c r="AG22" s="205"/>
      <c r="AH22" s="205"/>
      <c r="AI22" s="144"/>
      <c r="AJ22" s="248"/>
      <c r="AK22" s="144"/>
      <c r="AL22" s="248"/>
      <c r="AM22" s="204"/>
      <c r="AN22" s="207"/>
      <c r="AO22" s="249"/>
      <c r="AP22" s="210"/>
      <c r="AQ22" s="250"/>
      <c r="AR22" s="211"/>
      <c r="AS22" s="248"/>
      <c r="AT22" s="248"/>
      <c r="AU22" s="248"/>
      <c r="AV22" s="204"/>
      <c r="AW22" s="205"/>
      <c r="AX22" s="205"/>
      <c r="AY22" s="144"/>
      <c r="AZ22" s="248"/>
      <c r="BA22" s="144"/>
      <c r="BB22" s="248"/>
      <c r="BC22" s="204"/>
      <c r="BD22" s="207"/>
      <c r="BE22" s="249"/>
      <c r="BF22" s="210"/>
      <c r="BG22" s="250"/>
      <c r="BH22" s="211"/>
      <c r="BI22" s="248"/>
      <c r="BJ22" s="248"/>
      <c r="BK22" s="248"/>
      <c r="BL22" s="204"/>
      <c r="BM22" s="205"/>
      <c r="BN22" s="205"/>
      <c r="BO22" s="144"/>
      <c r="BP22" s="248"/>
      <c r="BQ22" s="144"/>
      <c r="BR22" s="248"/>
      <c r="BS22" s="204"/>
      <c r="BT22" s="207"/>
      <c r="BU22" s="249"/>
      <c r="BV22" s="210"/>
      <c r="BW22" s="250"/>
      <c r="BX22" s="211"/>
      <c r="BY22" s="248"/>
      <c r="BZ22" s="248"/>
      <c r="CA22" s="248"/>
      <c r="CB22" s="204"/>
      <c r="CC22" s="205"/>
      <c r="CD22" s="205"/>
      <c r="CE22" s="144"/>
      <c r="CF22" s="248"/>
      <c r="CG22" s="144"/>
      <c r="CH22" s="248"/>
      <c r="CI22" s="204"/>
      <c r="CJ22" s="207"/>
      <c r="CK22" s="249"/>
      <c r="CL22" s="210"/>
      <c r="CM22" s="250"/>
      <c r="CN22" s="211"/>
      <c r="CO22" s="259"/>
      <c r="CP22" s="251"/>
      <c r="CQ22" s="251"/>
      <c r="CR22" s="7"/>
      <c r="CS22" s="258"/>
      <c r="CT22" s="258"/>
      <c r="CU22" s="257"/>
      <c r="CV22" s="251"/>
      <c r="CW22" s="257"/>
      <c r="CX22" s="251"/>
      <c r="CY22" s="7"/>
      <c r="CZ22" s="11"/>
      <c r="DA22" s="253"/>
      <c r="DB22" s="30"/>
      <c r="DC22" s="252"/>
      <c r="DD22" s="63"/>
      <c r="DE22" s="251"/>
      <c r="DF22" s="251"/>
      <c r="DG22" s="251"/>
      <c r="DH22" s="7"/>
      <c r="DI22" s="258"/>
      <c r="DJ22" s="258"/>
      <c r="DK22" s="257"/>
      <c r="DL22" s="251"/>
      <c r="DM22" s="257"/>
      <c r="DN22" s="251"/>
      <c r="DO22" s="7"/>
      <c r="DP22" s="11"/>
      <c r="DQ22" s="253"/>
      <c r="DR22" s="30"/>
      <c r="DS22" s="252"/>
      <c r="DT22" s="63"/>
      <c r="DU22" s="251"/>
      <c r="DV22" s="251"/>
      <c r="DW22" s="251"/>
      <c r="DX22" s="7"/>
      <c r="DY22" s="258"/>
      <c r="DZ22" s="258"/>
      <c r="EA22" s="257"/>
      <c r="EB22" s="251"/>
      <c r="EC22" s="257"/>
      <c r="ED22" s="251"/>
      <c r="EE22" s="7"/>
      <c r="EF22" s="11"/>
      <c r="EG22" s="253"/>
      <c r="EH22" s="30"/>
      <c r="EI22" s="252"/>
      <c r="EJ22" s="63"/>
      <c r="EK22" s="251"/>
      <c r="EL22" s="251"/>
      <c r="EM22" s="251"/>
      <c r="EN22" s="7"/>
      <c r="EO22" s="258"/>
      <c r="EP22" s="258"/>
      <c r="EQ22" s="257"/>
      <c r="ER22" s="251"/>
      <c r="ES22" s="257"/>
      <c r="ET22" s="251"/>
      <c r="EU22" s="7"/>
      <c r="EV22" s="11"/>
      <c r="EW22" s="253"/>
      <c r="EX22" s="30"/>
      <c r="EY22" s="252"/>
      <c r="EZ22" s="63"/>
      <c r="FA22" s="251"/>
      <c r="FB22" s="251"/>
      <c r="FC22" s="251"/>
      <c r="FD22" s="7"/>
      <c r="FE22" s="258"/>
      <c r="FF22" s="258"/>
      <c r="FG22" s="257"/>
      <c r="FH22" s="251"/>
      <c r="FI22" s="257"/>
      <c r="FJ22" s="251"/>
      <c r="FK22" s="7"/>
      <c r="FL22" s="11"/>
      <c r="FM22" s="253"/>
      <c r="FN22" s="30"/>
      <c r="FO22" s="252"/>
      <c r="FP22" s="63"/>
      <c r="FQ22" s="251"/>
      <c r="FR22" s="251"/>
      <c r="FS22" s="251"/>
      <c r="FT22" s="7"/>
      <c r="FU22" s="258"/>
      <c r="FV22" s="258"/>
      <c r="FW22" s="257"/>
      <c r="FX22" s="251"/>
      <c r="FY22" s="257"/>
      <c r="FZ22" s="251"/>
      <c r="GA22" s="7"/>
      <c r="GB22" s="11"/>
      <c r="GC22" s="253"/>
      <c r="GD22" s="30"/>
      <c r="GE22" s="252"/>
      <c r="GF22" s="63"/>
      <c r="GG22" s="251"/>
      <c r="GH22" s="251"/>
      <c r="GI22" s="251"/>
      <c r="GJ22" s="7"/>
      <c r="GK22" s="258"/>
      <c r="GL22" s="258"/>
      <c r="GM22" s="257"/>
      <c r="GN22" s="251"/>
      <c r="GO22" s="257"/>
      <c r="GP22" s="251"/>
      <c r="GQ22" s="7"/>
      <c r="GR22" s="11"/>
      <c r="GS22" s="253"/>
      <c r="GT22" s="30"/>
      <c r="GU22" s="252"/>
      <c r="GV22" s="63"/>
      <c r="GW22" s="251"/>
      <c r="GX22" s="251"/>
      <c r="GY22" s="251"/>
      <c r="GZ22" s="7"/>
      <c r="HA22" s="258"/>
      <c r="HB22" s="258"/>
      <c r="HC22" s="257"/>
      <c r="HD22" s="251"/>
      <c r="HE22" s="257"/>
      <c r="HF22" s="251"/>
      <c r="HG22" s="7"/>
      <c r="HH22" s="11"/>
      <c r="HI22" s="253"/>
      <c r="HJ22" s="30"/>
      <c r="HK22" s="252"/>
      <c r="HL22" s="63"/>
      <c r="HM22" s="251"/>
      <c r="HN22" s="251"/>
      <c r="HO22" s="251"/>
      <c r="HP22" s="7"/>
      <c r="HQ22" s="258"/>
      <c r="HR22" s="258"/>
      <c r="HS22" s="257"/>
      <c r="HT22" s="251"/>
      <c r="HU22" s="257"/>
      <c r="HV22" s="251"/>
      <c r="HW22" s="7"/>
      <c r="HX22" s="11"/>
      <c r="HY22" s="253"/>
      <c r="HZ22" s="30"/>
      <c r="IA22" s="252"/>
      <c r="IB22" s="63"/>
      <c r="IC22" s="251"/>
      <c r="ID22" s="251"/>
      <c r="IE22" s="251"/>
      <c r="IF22" s="7"/>
      <c r="IG22" s="258"/>
      <c r="IH22" s="258"/>
      <c r="II22" s="257"/>
      <c r="IJ22" s="251"/>
      <c r="IK22" s="257"/>
      <c r="IL22" s="251"/>
      <c r="IM22" s="7"/>
      <c r="IN22" s="11"/>
      <c r="IO22" s="253"/>
      <c r="IP22" s="30"/>
      <c r="IQ22" s="252"/>
      <c r="IR22" s="63"/>
    </row>
    <row r="23" spans="1:252" s="255" customFormat="1" ht="15">
      <c r="A23" s="590"/>
      <c r="B23" s="496"/>
      <c r="C23" s="496" t="s">
        <v>6</v>
      </c>
      <c r="D23" s="296">
        <f>SUM(D17:D22)</f>
        <v>23</v>
      </c>
      <c r="E23" s="171">
        <f>D23/108</f>
        <v>0.21296296296296297</v>
      </c>
      <c r="F23" s="279">
        <f>(529+60+637+112)/D23</f>
        <v>58.17391304347826</v>
      </c>
      <c r="G23" s="149">
        <f>(262+31+311+55)/D23</f>
        <v>28.652173913043477</v>
      </c>
      <c r="H23" s="83">
        <f>28.7/53</f>
        <v>0.5415094339622641</v>
      </c>
      <c r="I23" s="296">
        <f>SUM(I17:I22)</f>
        <v>0</v>
      </c>
      <c r="J23" s="83">
        <f>I23/D23</f>
        <v>0</v>
      </c>
      <c r="K23" s="296">
        <f>SUM(K17:K22)</f>
        <v>23</v>
      </c>
      <c r="L23" s="83">
        <f>K23/32</f>
        <v>0.71875</v>
      </c>
      <c r="M23" s="149">
        <v>58.2</v>
      </c>
      <c r="N23" s="296">
        <f>SUM(N17:N22)</f>
        <v>0</v>
      </c>
      <c r="O23" s="298">
        <f>N23/D23</f>
        <v>0</v>
      </c>
      <c r="P23" s="296">
        <f>SUM(P17:P22)</f>
        <v>1</v>
      </c>
      <c r="Q23" s="298">
        <f>P23/D23</f>
        <v>0.043478260869565216</v>
      </c>
      <c r="R23" s="205"/>
      <c r="S23" s="144"/>
      <c r="T23" s="248"/>
      <c r="U23" s="144"/>
      <c r="V23" s="248"/>
      <c r="W23" s="144"/>
      <c r="X23" s="248"/>
      <c r="Y23" s="274"/>
      <c r="Z23" s="148"/>
      <c r="AA23" s="250"/>
      <c r="AB23" s="148"/>
      <c r="AC23" s="248"/>
      <c r="AD23" s="248"/>
      <c r="AE23" s="248"/>
      <c r="AF23" s="204"/>
      <c r="AG23" s="205"/>
      <c r="AH23" s="205"/>
      <c r="AI23" s="144"/>
      <c r="AJ23" s="248"/>
      <c r="AK23" s="144"/>
      <c r="AL23" s="248"/>
      <c r="AM23" s="144"/>
      <c r="AN23" s="248"/>
      <c r="AO23" s="249"/>
      <c r="AP23" s="208"/>
      <c r="AQ23" s="250"/>
      <c r="AR23" s="148"/>
      <c r="AS23" s="248"/>
      <c r="AT23" s="248"/>
      <c r="AU23" s="248"/>
      <c r="AV23" s="204"/>
      <c r="AW23" s="205"/>
      <c r="AX23" s="205"/>
      <c r="AY23" s="144"/>
      <c r="AZ23" s="248"/>
      <c r="BA23" s="144"/>
      <c r="BB23" s="248"/>
      <c r="BC23" s="144"/>
      <c r="BD23" s="248"/>
      <c r="BE23" s="249"/>
      <c r="BF23" s="208"/>
      <c r="BG23" s="250"/>
      <c r="BH23" s="148"/>
      <c r="BI23" s="248"/>
      <c r="BJ23" s="248"/>
      <c r="BK23" s="248"/>
      <c r="BL23" s="204"/>
      <c r="BM23" s="205"/>
      <c r="BN23" s="205"/>
      <c r="BO23" s="144"/>
      <c r="BP23" s="248"/>
      <c r="BQ23" s="144"/>
      <c r="BR23" s="248"/>
      <c r="BS23" s="144"/>
      <c r="BT23" s="248"/>
      <c r="BU23" s="249"/>
      <c r="BV23" s="208"/>
      <c r="BW23" s="250"/>
      <c r="BX23" s="148"/>
      <c r="BY23" s="248"/>
      <c r="BZ23" s="248"/>
      <c r="CA23" s="248"/>
      <c r="CB23" s="204"/>
      <c r="CC23" s="205"/>
      <c r="CD23" s="205"/>
      <c r="CE23" s="144"/>
      <c r="CF23" s="248"/>
      <c r="CG23" s="144"/>
      <c r="CH23" s="248"/>
      <c r="CI23" s="144"/>
      <c r="CJ23" s="248"/>
      <c r="CK23" s="249"/>
      <c r="CL23" s="208"/>
      <c r="CM23" s="250"/>
      <c r="CN23" s="148"/>
      <c r="CO23" s="259"/>
      <c r="CP23" s="251"/>
      <c r="CQ23" s="251"/>
      <c r="CR23" s="7"/>
      <c r="CS23" s="258"/>
      <c r="CT23" s="258"/>
      <c r="CU23" s="257"/>
      <c r="CV23" s="251"/>
      <c r="CW23" s="257"/>
      <c r="CX23" s="251"/>
      <c r="CY23" s="257"/>
      <c r="CZ23" s="251"/>
      <c r="DA23" s="253"/>
      <c r="DB23" s="28"/>
      <c r="DC23" s="252"/>
      <c r="DD23" s="49"/>
      <c r="DE23" s="251"/>
      <c r="DF23" s="251"/>
      <c r="DG23" s="251"/>
      <c r="DH23" s="7"/>
      <c r="DI23" s="258"/>
      <c r="DJ23" s="258"/>
      <c r="DK23" s="257"/>
      <c r="DL23" s="251"/>
      <c r="DM23" s="257"/>
      <c r="DN23" s="251"/>
      <c r="DO23" s="257"/>
      <c r="DP23" s="251"/>
      <c r="DQ23" s="253"/>
      <c r="DR23" s="28"/>
      <c r="DS23" s="252"/>
      <c r="DT23" s="49"/>
      <c r="DU23" s="251"/>
      <c r="DV23" s="251"/>
      <c r="DW23" s="251"/>
      <c r="DX23" s="7"/>
      <c r="DY23" s="258"/>
      <c r="DZ23" s="258"/>
      <c r="EA23" s="257"/>
      <c r="EB23" s="251"/>
      <c r="EC23" s="257"/>
      <c r="ED23" s="251"/>
      <c r="EE23" s="257"/>
      <c r="EF23" s="251"/>
      <c r="EG23" s="253"/>
      <c r="EH23" s="28"/>
      <c r="EI23" s="252"/>
      <c r="EJ23" s="49"/>
      <c r="EK23" s="251"/>
      <c r="EL23" s="251"/>
      <c r="EM23" s="251"/>
      <c r="EN23" s="7"/>
      <c r="EO23" s="258"/>
      <c r="EP23" s="258"/>
      <c r="EQ23" s="257"/>
      <c r="ER23" s="251"/>
      <c r="ES23" s="257"/>
      <c r="ET23" s="251"/>
      <c r="EU23" s="257"/>
      <c r="EV23" s="251"/>
      <c r="EW23" s="253"/>
      <c r="EX23" s="28"/>
      <c r="EY23" s="252"/>
      <c r="EZ23" s="49"/>
      <c r="FA23" s="251"/>
      <c r="FB23" s="251"/>
      <c r="FC23" s="251"/>
      <c r="FD23" s="7"/>
      <c r="FE23" s="258"/>
      <c r="FF23" s="258"/>
      <c r="FG23" s="257"/>
      <c r="FH23" s="251"/>
      <c r="FI23" s="257"/>
      <c r="FJ23" s="251"/>
      <c r="FK23" s="257"/>
      <c r="FL23" s="251"/>
      <c r="FM23" s="253"/>
      <c r="FN23" s="28"/>
      <c r="FO23" s="252"/>
      <c r="FP23" s="49"/>
      <c r="FQ23" s="251"/>
      <c r="FR23" s="251"/>
      <c r="FS23" s="251"/>
      <c r="FT23" s="7"/>
      <c r="FU23" s="258"/>
      <c r="FV23" s="258"/>
      <c r="FW23" s="257"/>
      <c r="FX23" s="251"/>
      <c r="FY23" s="257"/>
      <c r="FZ23" s="251"/>
      <c r="GA23" s="257"/>
      <c r="GB23" s="251"/>
      <c r="GC23" s="253"/>
      <c r="GD23" s="28"/>
      <c r="GE23" s="252"/>
      <c r="GF23" s="49"/>
      <c r="GG23" s="251"/>
      <c r="GH23" s="251"/>
      <c r="GI23" s="251"/>
      <c r="GJ23" s="7"/>
      <c r="GK23" s="258"/>
      <c r="GL23" s="258"/>
      <c r="GM23" s="257"/>
      <c r="GN23" s="251"/>
      <c r="GO23" s="257"/>
      <c r="GP23" s="251"/>
      <c r="GQ23" s="257"/>
      <c r="GR23" s="251"/>
      <c r="GS23" s="253"/>
      <c r="GT23" s="28"/>
      <c r="GU23" s="252"/>
      <c r="GV23" s="49"/>
      <c r="GW23" s="251"/>
      <c r="GX23" s="251"/>
      <c r="GY23" s="251"/>
      <c r="GZ23" s="7"/>
      <c r="HA23" s="258"/>
      <c r="HB23" s="258"/>
      <c r="HC23" s="257"/>
      <c r="HD23" s="251"/>
      <c r="HE23" s="257"/>
      <c r="HF23" s="251"/>
      <c r="HG23" s="257"/>
      <c r="HH23" s="251"/>
      <c r="HI23" s="253"/>
      <c r="HJ23" s="28"/>
      <c r="HK23" s="252"/>
      <c r="HL23" s="49"/>
      <c r="HM23" s="251"/>
      <c r="HN23" s="251"/>
      <c r="HO23" s="251"/>
      <c r="HP23" s="7"/>
      <c r="HQ23" s="258"/>
      <c r="HR23" s="258"/>
      <c r="HS23" s="257"/>
      <c r="HT23" s="251"/>
      <c r="HU23" s="257"/>
      <c r="HV23" s="251"/>
      <c r="HW23" s="257"/>
      <c r="HX23" s="251"/>
      <c r="HY23" s="253"/>
      <c r="HZ23" s="28"/>
      <c r="IA23" s="252"/>
      <c r="IB23" s="49"/>
      <c r="IC23" s="251"/>
      <c r="ID23" s="251"/>
      <c r="IE23" s="251"/>
      <c r="IF23" s="7"/>
      <c r="IG23" s="258"/>
      <c r="IH23" s="258"/>
      <c r="II23" s="257"/>
      <c r="IJ23" s="251"/>
      <c r="IK23" s="257"/>
      <c r="IL23" s="251"/>
      <c r="IM23" s="257"/>
      <c r="IN23" s="251"/>
      <c r="IO23" s="253"/>
      <c r="IP23" s="28"/>
      <c r="IQ23" s="252"/>
      <c r="IR23" s="49"/>
    </row>
    <row r="24" spans="1:252" s="255" customFormat="1" ht="4.5" customHeight="1">
      <c r="A24" s="590"/>
      <c r="B24" s="496"/>
      <c r="C24" s="496" t="s">
        <v>22</v>
      </c>
      <c r="D24" s="296"/>
      <c r="E24" s="296"/>
      <c r="F24" s="149">
        <v>58.41</v>
      </c>
      <c r="G24" s="149"/>
      <c r="H24" s="296"/>
      <c r="I24" s="296"/>
      <c r="J24" s="296"/>
      <c r="K24" s="296"/>
      <c r="L24" s="296"/>
      <c r="M24" s="296"/>
      <c r="N24" s="296"/>
      <c r="O24" s="296"/>
      <c r="P24" s="296"/>
      <c r="Q24" s="298"/>
      <c r="R24" s="205"/>
      <c r="S24" s="248"/>
      <c r="T24" s="248"/>
      <c r="U24" s="144"/>
      <c r="V24" s="248"/>
      <c r="W24" s="248"/>
      <c r="X24" s="248"/>
      <c r="Y24" s="274"/>
      <c r="Z24" s="148"/>
      <c r="AA24" s="250"/>
      <c r="AB24" s="148"/>
      <c r="AC24" s="248"/>
      <c r="AD24" s="248"/>
      <c r="AE24" s="248"/>
      <c r="AF24" s="204"/>
      <c r="AG24" s="205"/>
      <c r="AH24" s="205"/>
      <c r="AI24" s="248"/>
      <c r="AJ24" s="248"/>
      <c r="AK24" s="144"/>
      <c r="AL24" s="248"/>
      <c r="AM24" s="248"/>
      <c r="AN24" s="248"/>
      <c r="AO24" s="249"/>
      <c r="AP24" s="208"/>
      <c r="AQ24" s="250"/>
      <c r="AR24" s="148"/>
      <c r="AS24" s="248"/>
      <c r="AT24" s="248"/>
      <c r="AU24" s="248"/>
      <c r="AV24" s="204"/>
      <c r="AW24" s="205"/>
      <c r="AX24" s="205"/>
      <c r="AY24" s="248"/>
      <c r="AZ24" s="248"/>
      <c r="BA24" s="144"/>
      <c r="BB24" s="248"/>
      <c r="BC24" s="248"/>
      <c r="BD24" s="248"/>
      <c r="BE24" s="249"/>
      <c r="BF24" s="208"/>
      <c r="BG24" s="250"/>
      <c r="BH24" s="148"/>
      <c r="BI24" s="248"/>
      <c r="BJ24" s="248"/>
      <c r="BK24" s="248"/>
      <c r="BL24" s="204"/>
      <c r="BM24" s="205"/>
      <c r="BN24" s="205"/>
      <c r="BO24" s="248"/>
      <c r="BP24" s="248"/>
      <c r="BQ24" s="144"/>
      <c r="BR24" s="248"/>
      <c r="BS24" s="248"/>
      <c r="BT24" s="248"/>
      <c r="BU24" s="249"/>
      <c r="BV24" s="208"/>
      <c r="BW24" s="250"/>
      <c r="BX24" s="148"/>
      <c r="BY24" s="248"/>
      <c r="BZ24" s="248"/>
      <c r="CA24" s="248"/>
      <c r="CB24" s="204"/>
      <c r="CC24" s="205"/>
      <c r="CD24" s="205"/>
      <c r="CE24" s="248"/>
      <c r="CF24" s="248"/>
      <c r="CG24" s="144"/>
      <c r="CH24" s="248"/>
      <c r="CI24" s="248"/>
      <c r="CJ24" s="248"/>
      <c r="CK24" s="249"/>
      <c r="CL24" s="208"/>
      <c r="CM24" s="250"/>
      <c r="CN24" s="148"/>
      <c r="CO24" s="259"/>
      <c r="CP24" s="251"/>
      <c r="CQ24" s="251"/>
      <c r="CR24" s="7"/>
      <c r="CS24" s="258"/>
      <c r="CT24" s="258"/>
      <c r="CU24" s="251"/>
      <c r="CV24" s="251"/>
      <c r="CW24" s="257"/>
      <c r="CX24" s="251"/>
      <c r="CY24" s="251"/>
      <c r="CZ24" s="251"/>
      <c r="DA24" s="253"/>
      <c r="DB24" s="28"/>
      <c r="DC24" s="252"/>
      <c r="DD24" s="49"/>
      <c r="DE24" s="251"/>
      <c r="DF24" s="251"/>
      <c r="DG24" s="251"/>
      <c r="DH24" s="7"/>
      <c r="DI24" s="258"/>
      <c r="DJ24" s="258"/>
      <c r="DK24" s="251"/>
      <c r="DL24" s="251"/>
      <c r="DM24" s="257"/>
      <c r="DN24" s="251"/>
      <c r="DO24" s="251"/>
      <c r="DP24" s="251"/>
      <c r="DQ24" s="253"/>
      <c r="DR24" s="28"/>
      <c r="DS24" s="252"/>
      <c r="DT24" s="49"/>
      <c r="DU24" s="251"/>
      <c r="DV24" s="251"/>
      <c r="DW24" s="251"/>
      <c r="DX24" s="7"/>
      <c r="DY24" s="258"/>
      <c r="DZ24" s="258"/>
      <c r="EA24" s="251"/>
      <c r="EB24" s="251"/>
      <c r="EC24" s="257"/>
      <c r="ED24" s="251"/>
      <c r="EE24" s="251"/>
      <c r="EF24" s="251"/>
      <c r="EG24" s="253"/>
      <c r="EH24" s="28"/>
      <c r="EI24" s="252"/>
      <c r="EJ24" s="49"/>
      <c r="EK24" s="251"/>
      <c r="EL24" s="251"/>
      <c r="EM24" s="251"/>
      <c r="EN24" s="7"/>
      <c r="EO24" s="258"/>
      <c r="EP24" s="258"/>
      <c r="EQ24" s="251"/>
      <c r="ER24" s="251"/>
      <c r="ES24" s="257"/>
      <c r="ET24" s="251"/>
      <c r="EU24" s="251"/>
      <c r="EV24" s="251"/>
      <c r="EW24" s="253"/>
      <c r="EX24" s="28"/>
      <c r="EY24" s="252"/>
      <c r="EZ24" s="49"/>
      <c r="FA24" s="251"/>
      <c r="FB24" s="251"/>
      <c r="FC24" s="251"/>
      <c r="FD24" s="7"/>
      <c r="FE24" s="258"/>
      <c r="FF24" s="258"/>
      <c r="FG24" s="251"/>
      <c r="FH24" s="251"/>
      <c r="FI24" s="257"/>
      <c r="FJ24" s="251"/>
      <c r="FK24" s="251"/>
      <c r="FL24" s="251"/>
      <c r="FM24" s="253"/>
      <c r="FN24" s="28"/>
      <c r="FO24" s="252"/>
      <c r="FP24" s="49"/>
      <c r="FQ24" s="251"/>
      <c r="FR24" s="251"/>
      <c r="FS24" s="251"/>
      <c r="FT24" s="7"/>
      <c r="FU24" s="258"/>
      <c r="FV24" s="258"/>
      <c r="FW24" s="251"/>
      <c r="FX24" s="251"/>
      <c r="FY24" s="257"/>
      <c r="FZ24" s="251"/>
      <c r="GA24" s="251"/>
      <c r="GB24" s="251"/>
      <c r="GC24" s="253"/>
      <c r="GD24" s="28"/>
      <c r="GE24" s="252"/>
      <c r="GF24" s="49"/>
      <c r="GG24" s="251"/>
      <c r="GH24" s="251"/>
      <c r="GI24" s="251"/>
      <c r="GJ24" s="7"/>
      <c r="GK24" s="258"/>
      <c r="GL24" s="258"/>
      <c r="GM24" s="251"/>
      <c r="GN24" s="251"/>
      <c r="GO24" s="257"/>
      <c r="GP24" s="251"/>
      <c r="GQ24" s="251"/>
      <c r="GR24" s="251"/>
      <c r="GS24" s="253"/>
      <c r="GT24" s="28"/>
      <c r="GU24" s="252"/>
      <c r="GV24" s="49"/>
      <c r="GW24" s="251"/>
      <c r="GX24" s="251"/>
      <c r="GY24" s="251"/>
      <c r="GZ24" s="7"/>
      <c r="HA24" s="258"/>
      <c r="HB24" s="258"/>
      <c r="HC24" s="251"/>
      <c r="HD24" s="251"/>
      <c r="HE24" s="257"/>
      <c r="HF24" s="251"/>
      <c r="HG24" s="251"/>
      <c r="HH24" s="251"/>
      <c r="HI24" s="253"/>
      <c r="HJ24" s="28"/>
      <c r="HK24" s="252"/>
      <c r="HL24" s="49"/>
      <c r="HM24" s="251"/>
      <c r="HN24" s="251"/>
      <c r="HO24" s="251"/>
      <c r="HP24" s="7"/>
      <c r="HQ24" s="258"/>
      <c r="HR24" s="258"/>
      <c r="HS24" s="251"/>
      <c r="HT24" s="251"/>
      <c r="HU24" s="257"/>
      <c r="HV24" s="251"/>
      <c r="HW24" s="251"/>
      <c r="HX24" s="251"/>
      <c r="HY24" s="253"/>
      <c r="HZ24" s="28"/>
      <c r="IA24" s="252"/>
      <c r="IB24" s="49"/>
      <c r="IC24" s="251"/>
      <c r="ID24" s="251"/>
      <c r="IE24" s="251"/>
      <c r="IF24" s="7"/>
      <c r="IG24" s="258"/>
      <c r="IH24" s="258"/>
      <c r="II24" s="251"/>
      <c r="IJ24" s="251"/>
      <c r="IK24" s="257"/>
      <c r="IL24" s="251"/>
      <c r="IM24" s="251"/>
      <c r="IN24" s="251"/>
      <c r="IO24" s="253"/>
      <c r="IP24" s="28"/>
      <c r="IQ24" s="252"/>
      <c r="IR24" s="49"/>
    </row>
    <row r="25" spans="1:252" s="255" customFormat="1" ht="15">
      <c r="A25" s="489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95"/>
      <c r="Q25" s="495"/>
      <c r="R25" s="205"/>
      <c r="S25" s="144"/>
      <c r="T25" s="248"/>
      <c r="U25" s="144"/>
      <c r="V25" s="248"/>
      <c r="W25" s="248"/>
      <c r="X25" s="248"/>
      <c r="Y25" s="274"/>
      <c r="Z25" s="211"/>
      <c r="AA25" s="250"/>
      <c r="AB25" s="148"/>
      <c r="AC25" s="248"/>
      <c r="AD25" s="248"/>
      <c r="AE25" s="248"/>
      <c r="AF25" s="204"/>
      <c r="AG25" s="205"/>
      <c r="AH25" s="205"/>
      <c r="AI25" s="144"/>
      <c r="AJ25" s="248"/>
      <c r="AK25" s="144"/>
      <c r="AL25" s="248"/>
      <c r="AM25" s="248"/>
      <c r="AN25" s="248"/>
      <c r="AO25" s="249"/>
      <c r="AP25" s="210"/>
      <c r="AQ25" s="250"/>
      <c r="AR25" s="148"/>
      <c r="AS25" s="248"/>
      <c r="AT25" s="248"/>
      <c r="AU25" s="248"/>
      <c r="AV25" s="204"/>
      <c r="AW25" s="205"/>
      <c r="AX25" s="205"/>
      <c r="AY25" s="144"/>
      <c r="AZ25" s="248"/>
      <c r="BA25" s="144"/>
      <c r="BB25" s="248"/>
      <c r="BC25" s="248"/>
      <c r="BD25" s="248"/>
      <c r="BE25" s="249"/>
      <c r="BF25" s="210"/>
      <c r="BG25" s="250"/>
      <c r="BH25" s="148"/>
      <c r="BI25" s="248"/>
      <c r="BJ25" s="248"/>
      <c r="BK25" s="248"/>
      <c r="BL25" s="204"/>
      <c r="BM25" s="205"/>
      <c r="BN25" s="205"/>
      <c r="BO25" s="144"/>
      <c r="BP25" s="248"/>
      <c r="BQ25" s="144"/>
      <c r="BR25" s="248"/>
      <c r="BS25" s="248"/>
      <c r="BT25" s="248"/>
      <c r="BU25" s="249"/>
      <c r="BV25" s="210"/>
      <c r="BW25" s="250"/>
      <c r="BX25" s="148"/>
      <c r="BY25" s="248"/>
      <c r="BZ25" s="248"/>
      <c r="CA25" s="248"/>
      <c r="CB25" s="204"/>
      <c r="CC25" s="205"/>
      <c r="CD25" s="205"/>
      <c r="CE25" s="144"/>
      <c r="CF25" s="248"/>
      <c r="CG25" s="144"/>
      <c r="CH25" s="248"/>
      <c r="CI25" s="248"/>
      <c r="CJ25" s="248"/>
      <c r="CK25" s="249"/>
      <c r="CL25" s="210"/>
      <c r="CM25" s="250"/>
      <c r="CN25" s="148"/>
      <c r="CO25" s="259"/>
      <c r="CP25" s="251"/>
      <c r="CQ25" s="251"/>
      <c r="CR25" s="7"/>
      <c r="CS25" s="258"/>
      <c r="CT25" s="258"/>
      <c r="CU25" s="257"/>
      <c r="CV25" s="251"/>
      <c r="CW25" s="257"/>
      <c r="CX25" s="251"/>
      <c r="CY25" s="251"/>
      <c r="CZ25" s="251"/>
      <c r="DA25" s="253"/>
      <c r="DB25" s="30"/>
      <c r="DC25" s="252"/>
      <c r="DD25" s="49"/>
      <c r="DE25" s="251"/>
      <c r="DF25" s="251"/>
      <c r="DG25" s="251"/>
      <c r="DH25" s="7"/>
      <c r="DI25" s="258"/>
      <c r="DJ25" s="258"/>
      <c r="DK25" s="257"/>
      <c r="DL25" s="251"/>
      <c r="DM25" s="257"/>
      <c r="DN25" s="251"/>
      <c r="DO25" s="251"/>
      <c r="DP25" s="251"/>
      <c r="DQ25" s="253"/>
      <c r="DR25" s="30"/>
      <c r="DS25" s="252"/>
      <c r="DT25" s="49"/>
      <c r="DU25" s="251"/>
      <c r="DV25" s="251"/>
      <c r="DW25" s="251"/>
      <c r="DX25" s="7"/>
      <c r="DY25" s="258"/>
      <c r="DZ25" s="258"/>
      <c r="EA25" s="257"/>
      <c r="EB25" s="251"/>
      <c r="EC25" s="257"/>
      <c r="ED25" s="251"/>
      <c r="EE25" s="251"/>
      <c r="EF25" s="251"/>
      <c r="EG25" s="253"/>
      <c r="EH25" s="30"/>
      <c r="EI25" s="252"/>
      <c r="EJ25" s="49"/>
      <c r="EK25" s="251"/>
      <c r="EL25" s="251"/>
      <c r="EM25" s="251"/>
      <c r="EN25" s="7"/>
      <c r="EO25" s="258"/>
      <c r="EP25" s="258"/>
      <c r="EQ25" s="257"/>
      <c r="ER25" s="251"/>
      <c r="ES25" s="257"/>
      <c r="ET25" s="251"/>
      <c r="EU25" s="251"/>
      <c r="EV25" s="251"/>
      <c r="EW25" s="253"/>
      <c r="EX25" s="30"/>
      <c r="EY25" s="252"/>
      <c r="EZ25" s="49"/>
      <c r="FA25" s="251"/>
      <c r="FB25" s="251"/>
      <c r="FC25" s="251"/>
      <c r="FD25" s="7"/>
      <c r="FE25" s="258"/>
      <c r="FF25" s="258"/>
      <c r="FG25" s="257"/>
      <c r="FH25" s="251"/>
      <c r="FI25" s="257"/>
      <c r="FJ25" s="251"/>
      <c r="FK25" s="251"/>
      <c r="FL25" s="251"/>
      <c r="FM25" s="253"/>
      <c r="FN25" s="30"/>
      <c r="FO25" s="252"/>
      <c r="FP25" s="49"/>
      <c r="FQ25" s="251"/>
      <c r="FR25" s="251"/>
      <c r="FS25" s="251"/>
      <c r="FT25" s="7"/>
      <c r="FU25" s="258"/>
      <c r="FV25" s="258"/>
      <c r="FW25" s="257"/>
      <c r="FX25" s="251"/>
      <c r="FY25" s="257"/>
      <c r="FZ25" s="251"/>
      <c r="GA25" s="251"/>
      <c r="GB25" s="251"/>
      <c r="GC25" s="253"/>
      <c r="GD25" s="30"/>
      <c r="GE25" s="252"/>
      <c r="GF25" s="49"/>
      <c r="GG25" s="251"/>
      <c r="GH25" s="251"/>
      <c r="GI25" s="251"/>
      <c r="GJ25" s="7"/>
      <c r="GK25" s="258"/>
      <c r="GL25" s="258"/>
      <c r="GM25" s="257"/>
      <c r="GN25" s="251"/>
      <c r="GO25" s="257"/>
      <c r="GP25" s="251"/>
      <c r="GQ25" s="251"/>
      <c r="GR25" s="251"/>
      <c r="GS25" s="253"/>
      <c r="GT25" s="30"/>
      <c r="GU25" s="252"/>
      <c r="GV25" s="49"/>
      <c r="GW25" s="251"/>
      <c r="GX25" s="251"/>
      <c r="GY25" s="251"/>
      <c r="GZ25" s="7"/>
      <c r="HA25" s="258"/>
      <c r="HB25" s="258"/>
      <c r="HC25" s="257"/>
      <c r="HD25" s="251"/>
      <c r="HE25" s="257"/>
      <c r="HF25" s="251"/>
      <c r="HG25" s="251"/>
      <c r="HH25" s="251"/>
      <c r="HI25" s="253"/>
      <c r="HJ25" s="30"/>
      <c r="HK25" s="252"/>
      <c r="HL25" s="49"/>
      <c r="HM25" s="251"/>
      <c r="HN25" s="251"/>
      <c r="HO25" s="251"/>
      <c r="HP25" s="7"/>
      <c r="HQ25" s="258"/>
      <c r="HR25" s="258"/>
      <c r="HS25" s="257"/>
      <c r="HT25" s="251"/>
      <c r="HU25" s="257"/>
      <c r="HV25" s="251"/>
      <c r="HW25" s="251"/>
      <c r="HX25" s="251"/>
      <c r="HY25" s="253"/>
      <c r="HZ25" s="30"/>
      <c r="IA25" s="252"/>
      <c r="IB25" s="49"/>
      <c r="IC25" s="251"/>
      <c r="ID25" s="251"/>
      <c r="IE25" s="251"/>
      <c r="IF25" s="7"/>
      <c r="IG25" s="258"/>
      <c r="IH25" s="258"/>
      <c r="II25" s="257"/>
      <c r="IJ25" s="251"/>
      <c r="IK25" s="257"/>
      <c r="IL25" s="251"/>
      <c r="IM25" s="251"/>
      <c r="IN25" s="251"/>
      <c r="IO25" s="253"/>
      <c r="IP25" s="30"/>
      <c r="IQ25" s="252"/>
      <c r="IR25" s="49"/>
    </row>
    <row r="26" spans="1:252" s="255" customFormat="1" ht="15">
      <c r="A26" s="489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95"/>
      <c r="Q26" s="495"/>
      <c r="R26" s="143"/>
      <c r="S26" s="134"/>
      <c r="T26" s="141"/>
      <c r="U26" s="134"/>
      <c r="V26" s="141"/>
      <c r="W26" s="134"/>
      <c r="X26" s="143"/>
      <c r="Y26" s="146"/>
      <c r="Z26" s="147"/>
      <c r="AA26" s="146"/>
      <c r="AB26" s="147"/>
      <c r="AC26" s="141"/>
      <c r="AD26" s="141"/>
      <c r="AE26" s="141"/>
      <c r="AF26" s="142"/>
      <c r="AG26" s="143"/>
      <c r="AH26" s="143"/>
      <c r="AI26" s="134"/>
      <c r="AJ26" s="141"/>
      <c r="AK26" s="134"/>
      <c r="AL26" s="141"/>
      <c r="AM26" s="134"/>
      <c r="AN26" s="143"/>
      <c r="AO26" s="139"/>
      <c r="AP26" s="212"/>
      <c r="AQ26" s="146"/>
      <c r="AR26" s="147"/>
      <c r="AS26" s="141"/>
      <c r="AT26" s="141"/>
      <c r="AU26" s="141"/>
      <c r="AV26" s="142"/>
      <c r="AW26" s="143"/>
      <c r="AX26" s="143"/>
      <c r="AY26" s="134"/>
      <c r="AZ26" s="141"/>
      <c r="BA26" s="134"/>
      <c r="BB26" s="141"/>
      <c r="BC26" s="134"/>
      <c r="BD26" s="143"/>
      <c r="BE26" s="139"/>
      <c r="BF26" s="212"/>
      <c r="BG26" s="146"/>
      <c r="BH26" s="147"/>
      <c r="BI26" s="141"/>
      <c r="BJ26" s="141"/>
      <c r="BK26" s="141"/>
      <c r="BL26" s="142"/>
      <c r="BM26" s="143"/>
      <c r="BN26" s="143"/>
      <c r="BO26" s="134"/>
      <c r="BP26" s="141"/>
      <c r="BQ26" s="134"/>
      <c r="BR26" s="141"/>
      <c r="BS26" s="134"/>
      <c r="BT26" s="143"/>
      <c r="BU26" s="139"/>
      <c r="BV26" s="212"/>
      <c r="BW26" s="146"/>
      <c r="BX26" s="147"/>
      <c r="BY26" s="141"/>
      <c r="BZ26" s="141"/>
      <c r="CA26" s="141"/>
      <c r="CB26" s="142"/>
      <c r="CC26" s="143"/>
      <c r="CD26" s="143"/>
      <c r="CE26" s="134"/>
      <c r="CF26" s="141"/>
      <c r="CG26" s="134"/>
      <c r="CH26" s="141"/>
      <c r="CI26" s="134"/>
      <c r="CJ26" s="143"/>
      <c r="CK26" s="139"/>
      <c r="CL26" s="212"/>
      <c r="CM26" s="146"/>
      <c r="CN26" s="147"/>
      <c r="CO26" s="268"/>
      <c r="CP26" s="6"/>
      <c r="CQ26" s="6"/>
      <c r="CR26" s="10"/>
      <c r="CS26" s="67"/>
      <c r="CT26" s="67"/>
      <c r="CU26" s="13"/>
      <c r="CV26" s="6"/>
      <c r="CW26" s="13"/>
      <c r="CX26" s="6"/>
      <c r="CY26" s="13"/>
      <c r="CZ26" s="67"/>
      <c r="DA26" s="29"/>
      <c r="DB26" s="31"/>
      <c r="DC26" s="50"/>
      <c r="DD26" s="66"/>
      <c r="DE26" s="6"/>
      <c r="DF26" s="6"/>
      <c r="DG26" s="6"/>
      <c r="DH26" s="10"/>
      <c r="DI26" s="67"/>
      <c r="DJ26" s="67"/>
      <c r="DK26" s="13"/>
      <c r="DL26" s="6"/>
      <c r="DM26" s="13"/>
      <c r="DN26" s="6"/>
      <c r="DO26" s="13"/>
      <c r="DP26" s="67"/>
      <c r="DQ26" s="29"/>
      <c r="DR26" s="31"/>
      <c r="DS26" s="50"/>
      <c r="DT26" s="66"/>
      <c r="DU26" s="6"/>
      <c r="DV26" s="6"/>
      <c r="DW26" s="6"/>
      <c r="DX26" s="10"/>
      <c r="DY26" s="67"/>
      <c r="DZ26" s="67"/>
      <c r="EA26" s="13"/>
      <c r="EB26" s="6"/>
      <c r="EC26" s="13"/>
      <c r="ED26" s="6"/>
      <c r="EE26" s="13"/>
      <c r="EF26" s="67"/>
      <c r="EG26" s="29"/>
      <c r="EH26" s="31"/>
      <c r="EI26" s="50"/>
      <c r="EJ26" s="66"/>
      <c r="EK26" s="6"/>
      <c r="EL26" s="6"/>
      <c r="EM26" s="6"/>
      <c r="EN26" s="10"/>
      <c r="EO26" s="67"/>
      <c r="EP26" s="67"/>
      <c r="EQ26" s="13"/>
      <c r="ER26" s="6"/>
      <c r="ES26" s="13"/>
      <c r="ET26" s="6"/>
      <c r="EU26" s="13"/>
      <c r="EV26" s="67"/>
      <c r="EW26" s="29"/>
      <c r="EX26" s="31"/>
      <c r="EY26" s="50"/>
      <c r="EZ26" s="66"/>
      <c r="FA26" s="6"/>
      <c r="FB26" s="6"/>
      <c r="FC26" s="6"/>
      <c r="FD26" s="10"/>
      <c r="FE26" s="67"/>
      <c r="FF26" s="67"/>
      <c r="FG26" s="13"/>
      <c r="FH26" s="6"/>
      <c r="FI26" s="13"/>
      <c r="FJ26" s="6"/>
      <c r="FK26" s="13"/>
      <c r="FL26" s="67"/>
      <c r="FM26" s="29"/>
      <c r="FN26" s="31"/>
      <c r="FO26" s="50"/>
      <c r="FP26" s="66"/>
      <c r="FQ26" s="6"/>
      <c r="FR26" s="6"/>
      <c r="FS26" s="6"/>
      <c r="FT26" s="10"/>
      <c r="FU26" s="67"/>
      <c r="FV26" s="67"/>
      <c r="FW26" s="13"/>
      <c r="FX26" s="6"/>
      <c r="FY26" s="13"/>
      <c r="FZ26" s="6"/>
      <c r="GA26" s="13"/>
      <c r="GB26" s="67"/>
      <c r="GC26" s="29"/>
      <c r="GD26" s="31"/>
      <c r="GE26" s="50"/>
      <c r="GF26" s="66"/>
      <c r="GG26" s="6"/>
      <c r="GH26" s="6"/>
      <c r="GI26" s="6"/>
      <c r="GJ26" s="10"/>
      <c r="GK26" s="67"/>
      <c r="GL26" s="67"/>
      <c r="GM26" s="13"/>
      <c r="GN26" s="6"/>
      <c r="GO26" s="13"/>
      <c r="GP26" s="6"/>
      <c r="GQ26" s="13"/>
      <c r="GR26" s="67"/>
      <c r="GS26" s="29"/>
      <c r="GT26" s="31"/>
      <c r="GU26" s="50"/>
      <c r="GV26" s="66"/>
      <c r="GW26" s="6"/>
      <c r="GX26" s="6"/>
      <c r="GY26" s="6"/>
      <c r="GZ26" s="10"/>
      <c r="HA26" s="67"/>
      <c r="HB26" s="67"/>
      <c r="HC26" s="13"/>
      <c r="HD26" s="6"/>
      <c r="HE26" s="13"/>
      <c r="HF26" s="6"/>
      <c r="HG26" s="13"/>
      <c r="HH26" s="67"/>
      <c r="HI26" s="29"/>
      <c r="HJ26" s="31"/>
      <c r="HK26" s="50"/>
      <c r="HL26" s="66"/>
      <c r="HM26" s="6"/>
      <c r="HN26" s="6"/>
      <c r="HO26" s="6"/>
      <c r="HP26" s="10"/>
      <c r="HQ26" s="67"/>
      <c r="HR26" s="67"/>
      <c r="HS26" s="13"/>
      <c r="HT26" s="6"/>
      <c r="HU26" s="13"/>
      <c r="HV26" s="6"/>
      <c r="HW26" s="13"/>
      <c r="HX26" s="67"/>
      <c r="HY26" s="29"/>
      <c r="HZ26" s="31"/>
      <c r="IA26" s="50"/>
      <c r="IB26" s="66"/>
      <c r="IC26" s="6"/>
      <c r="ID26" s="6"/>
      <c r="IE26" s="6"/>
      <c r="IF26" s="10"/>
      <c r="IG26" s="67"/>
      <c r="IH26" s="67"/>
      <c r="II26" s="13"/>
      <c r="IJ26" s="6"/>
      <c r="IK26" s="13"/>
      <c r="IL26" s="6"/>
      <c r="IM26" s="13"/>
      <c r="IN26" s="67"/>
      <c r="IO26" s="29"/>
      <c r="IP26" s="31"/>
      <c r="IQ26" s="50"/>
      <c r="IR26" s="66"/>
    </row>
    <row r="27" spans="1:252" s="255" customFormat="1" ht="15">
      <c r="A27" s="386"/>
      <c r="B27" s="588" t="s">
        <v>201</v>
      </c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386"/>
      <c r="P27" s="388"/>
      <c r="Q27" s="388"/>
      <c r="R27" s="143"/>
      <c r="S27" s="141"/>
      <c r="T27" s="141"/>
      <c r="U27" s="141"/>
      <c r="V27" s="141"/>
      <c r="W27" s="141"/>
      <c r="X27" s="141"/>
      <c r="Y27" s="146"/>
      <c r="Z27" s="146"/>
      <c r="AA27" s="146"/>
      <c r="AB27" s="147"/>
      <c r="AC27" s="141"/>
      <c r="AD27" s="141"/>
      <c r="AE27" s="141"/>
      <c r="AF27" s="141"/>
      <c r="AG27" s="143"/>
      <c r="AH27" s="143"/>
      <c r="AI27" s="141"/>
      <c r="AJ27" s="141"/>
      <c r="AK27" s="141"/>
      <c r="AL27" s="141"/>
      <c r="AM27" s="141"/>
      <c r="AN27" s="141"/>
      <c r="AO27" s="139"/>
      <c r="AP27" s="139"/>
      <c r="AQ27" s="146"/>
      <c r="AR27" s="147"/>
      <c r="AS27" s="141"/>
      <c r="AT27" s="141"/>
      <c r="AU27" s="141"/>
      <c r="AV27" s="141"/>
      <c r="AW27" s="143"/>
      <c r="AX27" s="143"/>
      <c r="AY27" s="141"/>
      <c r="AZ27" s="141"/>
      <c r="BA27" s="141"/>
      <c r="BB27" s="141"/>
      <c r="BC27" s="141"/>
      <c r="BD27" s="141"/>
      <c r="BE27" s="139"/>
      <c r="BF27" s="139"/>
      <c r="BG27" s="146"/>
      <c r="BH27" s="147"/>
      <c r="BI27" s="141"/>
      <c r="BJ27" s="141"/>
      <c r="BK27" s="141"/>
      <c r="BL27" s="141"/>
      <c r="BM27" s="143"/>
      <c r="BN27" s="143"/>
      <c r="BO27" s="141"/>
      <c r="BP27" s="141"/>
      <c r="BQ27" s="141"/>
      <c r="BR27" s="141"/>
      <c r="BS27" s="141"/>
      <c r="BT27" s="141"/>
      <c r="BU27" s="139"/>
      <c r="BV27" s="139"/>
      <c r="BW27" s="146"/>
      <c r="BX27" s="147"/>
      <c r="BY27" s="141"/>
      <c r="BZ27" s="141"/>
      <c r="CA27" s="141"/>
      <c r="CB27" s="141"/>
      <c r="CC27" s="143"/>
      <c r="CD27" s="143"/>
      <c r="CE27" s="141"/>
      <c r="CF27" s="141"/>
      <c r="CG27" s="141"/>
      <c r="CH27" s="141"/>
      <c r="CI27" s="141"/>
      <c r="CJ27" s="141"/>
      <c r="CK27" s="139"/>
      <c r="CL27" s="139"/>
      <c r="CM27" s="146"/>
      <c r="CN27" s="147"/>
      <c r="CO27" s="268"/>
      <c r="CP27" s="6"/>
      <c r="CQ27" s="6"/>
      <c r="CR27" s="6"/>
      <c r="CS27" s="67"/>
      <c r="CT27" s="67"/>
      <c r="CU27" s="6"/>
      <c r="CV27" s="6"/>
      <c r="CW27" s="6"/>
      <c r="CX27" s="6"/>
      <c r="CY27" s="6"/>
      <c r="CZ27" s="6"/>
      <c r="DA27" s="29"/>
      <c r="DB27" s="29"/>
      <c r="DC27" s="50"/>
      <c r="DD27" s="66"/>
      <c r="DE27" s="6"/>
      <c r="DF27" s="6"/>
      <c r="DG27" s="6"/>
      <c r="DH27" s="6"/>
      <c r="DI27" s="67"/>
      <c r="DJ27" s="67"/>
      <c r="DK27" s="6"/>
      <c r="DL27" s="6"/>
      <c r="DM27" s="6"/>
      <c r="DN27" s="6"/>
      <c r="DO27" s="6"/>
      <c r="DP27" s="6"/>
      <c r="DQ27" s="29"/>
      <c r="DR27" s="29"/>
      <c r="DS27" s="50"/>
      <c r="DT27" s="66"/>
      <c r="DU27" s="6"/>
      <c r="DV27" s="6"/>
      <c r="DW27" s="6"/>
      <c r="DX27" s="6"/>
      <c r="DY27" s="67"/>
      <c r="DZ27" s="67"/>
      <c r="EA27" s="6"/>
      <c r="EB27" s="6"/>
      <c r="EC27" s="6"/>
      <c r="ED27" s="6"/>
      <c r="EE27" s="6"/>
      <c r="EF27" s="6"/>
      <c r="EG27" s="29"/>
      <c r="EH27" s="29"/>
      <c r="EI27" s="50"/>
      <c r="EJ27" s="66"/>
      <c r="EK27" s="6"/>
      <c r="EL27" s="6"/>
      <c r="EM27" s="6"/>
      <c r="EN27" s="6"/>
      <c r="EO27" s="67"/>
      <c r="EP27" s="67"/>
      <c r="EQ27" s="6"/>
      <c r="ER27" s="6"/>
      <c r="ES27" s="6"/>
      <c r="ET27" s="6"/>
      <c r="EU27" s="6"/>
      <c r="EV27" s="6"/>
      <c r="EW27" s="29"/>
      <c r="EX27" s="29"/>
      <c r="EY27" s="50"/>
      <c r="EZ27" s="66"/>
      <c r="FA27" s="6"/>
      <c r="FB27" s="6"/>
      <c r="FC27" s="6"/>
      <c r="FD27" s="6"/>
      <c r="FE27" s="67"/>
      <c r="FF27" s="67"/>
      <c r="FG27" s="6"/>
      <c r="FH27" s="6"/>
      <c r="FI27" s="6"/>
      <c r="FJ27" s="6"/>
      <c r="FK27" s="6"/>
      <c r="FL27" s="6"/>
      <c r="FM27" s="29"/>
      <c r="FN27" s="29"/>
      <c r="FO27" s="50"/>
      <c r="FP27" s="66"/>
      <c r="FQ27" s="6"/>
      <c r="FR27" s="6"/>
      <c r="FS27" s="6"/>
      <c r="FT27" s="6"/>
      <c r="FU27" s="67"/>
      <c r="FV27" s="67"/>
      <c r="FW27" s="6"/>
      <c r="FX27" s="6"/>
      <c r="FY27" s="6"/>
      <c r="FZ27" s="6"/>
      <c r="GA27" s="6"/>
      <c r="GB27" s="6"/>
      <c r="GC27" s="29"/>
      <c r="GD27" s="29"/>
      <c r="GE27" s="50"/>
      <c r="GF27" s="66"/>
      <c r="GG27" s="6"/>
      <c r="GH27" s="6"/>
      <c r="GI27" s="6"/>
      <c r="GJ27" s="6"/>
      <c r="GK27" s="67"/>
      <c r="GL27" s="67"/>
      <c r="GM27" s="6"/>
      <c r="GN27" s="6"/>
      <c r="GO27" s="6"/>
      <c r="GP27" s="6"/>
      <c r="GQ27" s="6"/>
      <c r="GR27" s="6"/>
      <c r="GS27" s="29"/>
      <c r="GT27" s="29"/>
      <c r="GU27" s="50"/>
      <c r="GV27" s="66"/>
      <c r="GW27" s="6"/>
      <c r="GX27" s="6"/>
      <c r="GY27" s="6"/>
      <c r="GZ27" s="6"/>
      <c r="HA27" s="67"/>
      <c r="HB27" s="67"/>
      <c r="HC27" s="6"/>
      <c r="HD27" s="6"/>
      <c r="HE27" s="6"/>
      <c r="HF27" s="6"/>
      <c r="HG27" s="6"/>
      <c r="HH27" s="6"/>
      <c r="HI27" s="29"/>
      <c r="HJ27" s="29"/>
      <c r="HK27" s="50"/>
      <c r="HL27" s="66"/>
      <c r="HM27" s="6"/>
      <c r="HN27" s="6"/>
      <c r="HO27" s="6"/>
      <c r="HP27" s="6"/>
      <c r="HQ27" s="67"/>
      <c r="HR27" s="67"/>
      <c r="HS27" s="6"/>
      <c r="HT27" s="6"/>
      <c r="HU27" s="6"/>
      <c r="HV27" s="6"/>
      <c r="HW27" s="6"/>
      <c r="HX27" s="6"/>
      <c r="HY27" s="29"/>
      <c r="HZ27" s="29"/>
      <c r="IA27" s="50"/>
      <c r="IB27" s="66"/>
      <c r="IC27" s="6"/>
      <c r="ID27" s="6"/>
      <c r="IE27" s="6"/>
      <c r="IF27" s="6"/>
      <c r="IG27" s="67"/>
      <c r="IH27" s="67"/>
      <c r="II27" s="6"/>
      <c r="IJ27" s="6"/>
      <c r="IK27" s="6"/>
      <c r="IL27" s="6"/>
      <c r="IM27" s="6"/>
      <c r="IN27" s="6"/>
      <c r="IO27" s="29"/>
      <c r="IP27" s="29"/>
      <c r="IQ27" s="50"/>
      <c r="IR27" s="66"/>
    </row>
    <row r="28" spans="1:92" ht="20.25" customHeight="1">
      <c r="A28" s="590" t="s">
        <v>194</v>
      </c>
      <c r="B28" s="387"/>
      <c r="C28" s="387"/>
      <c r="D28" s="590" t="s">
        <v>7</v>
      </c>
      <c r="E28" s="590"/>
      <c r="F28" s="590" t="s">
        <v>39</v>
      </c>
      <c r="G28" s="592" t="s">
        <v>20</v>
      </c>
      <c r="H28" s="592" t="s">
        <v>64</v>
      </c>
      <c r="I28" s="590" t="s">
        <v>9</v>
      </c>
      <c r="J28" s="590"/>
      <c r="K28" s="590" t="s">
        <v>13</v>
      </c>
      <c r="L28" s="590"/>
      <c r="M28" s="590"/>
      <c r="N28" s="587" t="s">
        <v>206</v>
      </c>
      <c r="O28" s="587"/>
      <c r="P28" s="587" t="s">
        <v>127</v>
      </c>
      <c r="Q28" s="587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</row>
    <row r="29" spans="1:92" ht="135">
      <c r="A29" s="590"/>
      <c r="B29" s="387"/>
      <c r="C29" s="387"/>
      <c r="D29" s="387" t="s">
        <v>8</v>
      </c>
      <c r="E29" s="387" t="s">
        <v>11</v>
      </c>
      <c r="F29" s="590"/>
      <c r="G29" s="593"/>
      <c r="H29" s="593"/>
      <c r="I29" s="387" t="s">
        <v>8</v>
      </c>
      <c r="J29" s="387" t="s">
        <v>10</v>
      </c>
      <c r="K29" s="387" t="s">
        <v>14</v>
      </c>
      <c r="L29" s="387" t="s">
        <v>12</v>
      </c>
      <c r="M29" s="387" t="s">
        <v>15</v>
      </c>
      <c r="N29" s="384" t="s">
        <v>8</v>
      </c>
      <c r="O29" s="384" t="s">
        <v>10</v>
      </c>
      <c r="P29" s="384" t="s">
        <v>8</v>
      </c>
      <c r="Q29" s="384" t="s">
        <v>10</v>
      </c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</row>
    <row r="30" spans="1:92" ht="15">
      <c r="A30" s="590"/>
      <c r="B30" s="387">
        <v>1</v>
      </c>
      <c r="C30" s="387" t="s">
        <v>0</v>
      </c>
      <c r="D30" s="384">
        <v>15</v>
      </c>
      <c r="E30" s="48">
        <f>D30/22</f>
        <v>0.6818181818181818</v>
      </c>
      <c r="F30" s="68">
        <f>1069/D30</f>
        <v>71.26666666666667</v>
      </c>
      <c r="G30" s="68">
        <f>544/D30</f>
        <v>36.266666666666666</v>
      </c>
      <c r="H30" s="65">
        <f>G30/50</f>
        <v>0.7253333333333333</v>
      </c>
      <c r="I30" s="384">
        <v>0</v>
      </c>
      <c r="J30" s="65">
        <f>I30/D30</f>
        <v>0</v>
      </c>
      <c r="K30" s="384">
        <v>15</v>
      </c>
      <c r="L30" s="316">
        <f>K30/16</f>
        <v>0.9375</v>
      </c>
      <c r="M30" s="94">
        <f>1069/K30</f>
        <v>71.26666666666667</v>
      </c>
      <c r="N30" s="384">
        <v>9</v>
      </c>
      <c r="O30" s="417">
        <f>N30/D30</f>
        <v>0.6</v>
      </c>
      <c r="P30" s="106">
        <v>6</v>
      </c>
      <c r="Q30" s="417">
        <f>P30/D30</f>
        <v>0.4</v>
      </c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</row>
    <row r="31" spans="1:92" ht="15">
      <c r="A31" s="590"/>
      <c r="B31" s="387">
        <v>2</v>
      </c>
      <c r="C31" s="387" t="s">
        <v>1</v>
      </c>
      <c r="D31" s="384">
        <v>0</v>
      </c>
      <c r="E31" s="48">
        <f>D31/21</f>
        <v>0</v>
      </c>
      <c r="F31" s="68" t="e">
        <f>360/D31</f>
        <v>#DIV/0!</v>
      </c>
      <c r="G31" s="68" t="e">
        <f>174/D31</f>
        <v>#DIV/0!</v>
      </c>
      <c r="H31" s="65" t="e">
        <f>G31/50</f>
        <v>#DIV/0!</v>
      </c>
      <c r="I31" s="384">
        <v>0</v>
      </c>
      <c r="J31" s="65" t="e">
        <f>I31/D31</f>
        <v>#DIV/0!</v>
      </c>
      <c r="K31" s="384">
        <v>0</v>
      </c>
      <c r="L31" s="65">
        <f>K31/3</f>
        <v>0</v>
      </c>
      <c r="M31" s="384">
        <v>0</v>
      </c>
      <c r="N31" s="384">
        <v>0</v>
      </c>
      <c r="O31" s="306" t="e">
        <f>N31/D31</f>
        <v>#DIV/0!</v>
      </c>
      <c r="P31" s="106">
        <v>0</v>
      </c>
      <c r="Q31" s="306" t="e">
        <f>P31/D31</f>
        <v>#DIV/0!</v>
      </c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</row>
    <row r="32" spans="1:17" ht="15">
      <c r="A32" s="590"/>
      <c r="B32" s="387">
        <v>3</v>
      </c>
      <c r="C32" s="387" t="s">
        <v>2</v>
      </c>
      <c r="D32" s="384">
        <v>6</v>
      </c>
      <c r="E32" s="48">
        <f>D32/27</f>
        <v>0.2222222222222222</v>
      </c>
      <c r="F32" s="68">
        <f>360/D32</f>
        <v>60</v>
      </c>
      <c r="G32" s="68">
        <f>174/D32</f>
        <v>29</v>
      </c>
      <c r="H32" s="65">
        <f>G32/50</f>
        <v>0.58</v>
      </c>
      <c r="I32" s="384">
        <v>0</v>
      </c>
      <c r="J32" s="65">
        <f>I32/D32</f>
        <v>0</v>
      </c>
      <c r="K32" s="384">
        <v>6</v>
      </c>
      <c r="L32" s="316">
        <f>K32/6</f>
        <v>1</v>
      </c>
      <c r="M32" s="94">
        <f>360/K32</f>
        <v>60</v>
      </c>
      <c r="N32" s="384">
        <v>2</v>
      </c>
      <c r="O32" s="306">
        <f>N32/D32</f>
        <v>0.3333333333333333</v>
      </c>
      <c r="P32" s="106">
        <v>1</v>
      </c>
      <c r="Q32" s="306">
        <f>P32/D32</f>
        <v>0.16666666666666666</v>
      </c>
    </row>
    <row r="33" spans="1:17" ht="63" customHeight="1">
      <c r="A33" s="590"/>
      <c r="B33" s="387">
        <v>4</v>
      </c>
      <c r="C33" s="387" t="s">
        <v>3</v>
      </c>
      <c r="D33" s="384">
        <v>3</v>
      </c>
      <c r="E33" s="48">
        <f>D33/26</f>
        <v>0.11538461538461539</v>
      </c>
      <c r="F33" s="68">
        <f>143/D33</f>
        <v>47.666666666666664</v>
      </c>
      <c r="G33" s="68">
        <f>62/D33</f>
        <v>20.666666666666668</v>
      </c>
      <c r="H33" s="65">
        <f>G33/50</f>
        <v>0.41333333333333333</v>
      </c>
      <c r="I33" s="384">
        <v>0</v>
      </c>
      <c r="J33" s="65">
        <f>I33/D33</f>
        <v>0</v>
      </c>
      <c r="K33" s="384">
        <v>3</v>
      </c>
      <c r="L33" s="65">
        <f>K33/6</f>
        <v>0.5</v>
      </c>
      <c r="M33" s="94">
        <f>143/K33</f>
        <v>47.666666666666664</v>
      </c>
      <c r="N33" s="384">
        <v>1</v>
      </c>
      <c r="O33" s="295">
        <f>N33/D33</f>
        <v>0.3333333333333333</v>
      </c>
      <c r="P33" s="384">
        <v>0</v>
      </c>
      <c r="Q33" s="295">
        <f>P33/D33</f>
        <v>0</v>
      </c>
    </row>
    <row r="34" spans="1:17" ht="30">
      <c r="A34" s="590"/>
      <c r="B34" s="387">
        <v>5</v>
      </c>
      <c r="C34" s="387" t="s">
        <v>4</v>
      </c>
      <c r="D34" s="384"/>
      <c r="E34" s="48"/>
      <c r="F34" s="68"/>
      <c r="G34" s="68"/>
      <c r="H34" s="384"/>
      <c r="I34" s="384"/>
      <c r="J34" s="65"/>
      <c r="K34" s="384"/>
      <c r="L34" s="384"/>
      <c r="M34" s="384"/>
      <c r="N34" s="384"/>
      <c r="O34" s="295"/>
      <c r="P34" s="384"/>
      <c r="Q34" s="295"/>
    </row>
    <row r="35" spans="1:17" ht="31.5" customHeight="1">
      <c r="A35" s="590"/>
      <c r="B35" s="387">
        <v>6</v>
      </c>
      <c r="C35" s="387" t="s">
        <v>5</v>
      </c>
      <c r="D35" s="384"/>
      <c r="E35" s="48">
        <f>D35/5</f>
        <v>0</v>
      </c>
      <c r="F35" s="68" t="e">
        <f>100/D35</f>
        <v>#DIV/0!</v>
      </c>
      <c r="G35" s="68" t="e">
        <f>43/D35</f>
        <v>#DIV/0!</v>
      </c>
      <c r="H35" s="65" t="e">
        <f>G35/50</f>
        <v>#DIV/0!</v>
      </c>
      <c r="I35" s="384">
        <v>0</v>
      </c>
      <c r="J35" s="65">
        <v>0</v>
      </c>
      <c r="K35" s="384">
        <v>0</v>
      </c>
      <c r="L35" s="384">
        <v>0</v>
      </c>
      <c r="M35" s="384">
        <v>0</v>
      </c>
      <c r="N35" s="384">
        <v>0</v>
      </c>
      <c r="O35" s="63" t="e">
        <f>N35/D35</f>
        <v>#DIV/0!</v>
      </c>
      <c r="P35" s="384">
        <v>0</v>
      </c>
      <c r="Q35" s="295" t="e">
        <f>P35/D35</f>
        <v>#DIV/0!</v>
      </c>
    </row>
    <row r="36" spans="1:17" s="14" customFormat="1" ht="15">
      <c r="A36" s="590"/>
      <c r="B36" s="290"/>
      <c r="C36" s="290" t="s">
        <v>6</v>
      </c>
      <c r="D36" s="296">
        <f>SUM(D30:D35)</f>
        <v>24</v>
      </c>
      <c r="E36" s="171">
        <f>D36/100</f>
        <v>0.24</v>
      </c>
      <c r="F36" s="280">
        <f>1572/D36</f>
        <v>65.5</v>
      </c>
      <c r="G36" s="149">
        <f>780/D36</f>
        <v>32.5</v>
      </c>
      <c r="H36" s="83">
        <f>780/(D36*50)</f>
        <v>0.65</v>
      </c>
      <c r="I36" s="296">
        <f>SUM(I30:I35)</f>
        <v>0</v>
      </c>
      <c r="J36" s="83">
        <f>I36/D36</f>
        <v>0</v>
      </c>
      <c r="K36" s="296">
        <f>SUM(K30:K35)</f>
        <v>24</v>
      </c>
      <c r="L36" s="83">
        <f>K36/34</f>
        <v>0.7058823529411765</v>
      </c>
      <c r="M36" s="149">
        <f>1572/K36</f>
        <v>65.5</v>
      </c>
      <c r="N36" s="296">
        <f>SUM(N30:N35)</f>
        <v>12</v>
      </c>
      <c r="O36" s="298">
        <f>N36/D36</f>
        <v>0.5</v>
      </c>
      <c r="P36" s="296">
        <f>SUM(P30:P35)</f>
        <v>7</v>
      </c>
      <c r="Q36" s="298">
        <f>P36/D36</f>
        <v>0.2916666666666667</v>
      </c>
    </row>
    <row r="37" spans="1:17" s="22" customFormat="1" ht="15">
      <c r="A37" s="590"/>
      <c r="B37" s="290"/>
      <c r="C37" s="290" t="s">
        <v>22</v>
      </c>
      <c r="D37" s="296"/>
      <c r="E37" s="296"/>
      <c r="F37" s="149">
        <v>60.61</v>
      </c>
      <c r="G37" s="149"/>
      <c r="H37" s="296"/>
      <c r="I37" s="296"/>
      <c r="J37" s="296"/>
      <c r="K37" s="296"/>
      <c r="L37" s="296"/>
      <c r="M37" s="296"/>
      <c r="N37" s="296"/>
      <c r="O37" s="296"/>
      <c r="P37" s="296"/>
      <c r="Q37" s="298"/>
    </row>
    <row r="38" spans="1:17" ht="15">
      <c r="A38" s="386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8"/>
      <c r="Q38" s="388"/>
    </row>
    <row r="39" spans="2:14" ht="15">
      <c r="B39" s="588" t="s">
        <v>156</v>
      </c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</row>
    <row r="40" spans="1:17" ht="15">
      <c r="A40" s="590" t="s">
        <v>140</v>
      </c>
      <c r="B40" s="251"/>
      <c r="C40" s="251"/>
      <c r="D40" s="590" t="s">
        <v>7</v>
      </c>
      <c r="E40" s="590"/>
      <c r="F40" s="590" t="s">
        <v>39</v>
      </c>
      <c r="G40" s="592" t="s">
        <v>20</v>
      </c>
      <c r="H40" s="592" t="s">
        <v>64</v>
      </c>
      <c r="I40" s="590" t="s">
        <v>9</v>
      </c>
      <c r="J40" s="590"/>
      <c r="K40" s="590" t="s">
        <v>13</v>
      </c>
      <c r="L40" s="590"/>
      <c r="M40" s="590"/>
      <c r="N40" s="587" t="s">
        <v>170</v>
      </c>
      <c r="O40" s="587"/>
      <c r="P40" s="587" t="s">
        <v>127</v>
      </c>
      <c r="Q40" s="587"/>
    </row>
    <row r="41" spans="1:17" ht="135">
      <c r="A41" s="590"/>
      <c r="B41" s="251"/>
      <c r="C41" s="251"/>
      <c r="D41" s="251" t="s">
        <v>8</v>
      </c>
      <c r="E41" s="251" t="s">
        <v>11</v>
      </c>
      <c r="F41" s="590"/>
      <c r="G41" s="593"/>
      <c r="H41" s="593"/>
      <c r="I41" s="251" t="s">
        <v>8</v>
      </c>
      <c r="J41" s="251" t="s">
        <v>10</v>
      </c>
      <c r="K41" s="251" t="s">
        <v>14</v>
      </c>
      <c r="L41" s="251" t="s">
        <v>12</v>
      </c>
      <c r="M41" s="251" t="s">
        <v>15</v>
      </c>
      <c r="N41" s="293" t="s">
        <v>8</v>
      </c>
      <c r="O41" s="293" t="s">
        <v>10</v>
      </c>
      <c r="P41" s="270" t="s">
        <v>8</v>
      </c>
      <c r="Q41" s="270" t="s">
        <v>10</v>
      </c>
    </row>
    <row r="42" spans="1:17" ht="15">
      <c r="A42" s="590"/>
      <c r="B42" s="251">
        <v>1</v>
      </c>
      <c r="C42" s="251" t="s">
        <v>0</v>
      </c>
      <c r="D42" s="251">
        <v>19</v>
      </c>
      <c r="E42" s="7">
        <f>D42/51</f>
        <v>0.37254901960784315</v>
      </c>
      <c r="F42" s="285">
        <f>1213/D42</f>
        <v>63.8421052631579</v>
      </c>
      <c r="G42" s="258">
        <f>614/D42</f>
        <v>32.31578947368421</v>
      </c>
      <c r="H42" s="257">
        <f>G42/50</f>
        <v>0.6463157894736843</v>
      </c>
      <c r="I42" s="251">
        <v>0</v>
      </c>
      <c r="J42" s="257">
        <f>I42/D42</f>
        <v>0</v>
      </c>
      <c r="K42" s="251">
        <v>19</v>
      </c>
      <c r="L42" s="308">
        <f>K42/23</f>
        <v>0.8260869565217391</v>
      </c>
      <c r="M42" s="315">
        <v>63.8</v>
      </c>
      <c r="N42" s="293">
        <v>11</v>
      </c>
      <c r="O42" s="63">
        <f>N42/D42</f>
        <v>0.5789473684210527</v>
      </c>
      <c r="P42" s="270">
        <v>2</v>
      </c>
      <c r="Q42" s="63">
        <f>P42/D42</f>
        <v>0.10526315789473684</v>
      </c>
    </row>
    <row r="43" spans="1:17" ht="15">
      <c r="A43" s="590"/>
      <c r="B43" s="251">
        <v>2</v>
      </c>
      <c r="C43" s="251" t="s">
        <v>1</v>
      </c>
      <c r="D43" s="251">
        <v>0</v>
      </c>
      <c r="E43" s="7">
        <f>D43/19</f>
        <v>0</v>
      </c>
      <c r="F43" s="258" t="e">
        <f>85/D43</f>
        <v>#DIV/0!</v>
      </c>
      <c r="G43" s="258" t="e">
        <f>29/D43</f>
        <v>#DIV/0!</v>
      </c>
      <c r="H43" s="257" t="e">
        <f>G43/50</f>
        <v>#DIV/0!</v>
      </c>
      <c r="I43" s="251">
        <v>0</v>
      </c>
      <c r="J43" s="257" t="e">
        <f>I43/D43</f>
        <v>#DIV/0!</v>
      </c>
      <c r="K43" s="251">
        <v>0</v>
      </c>
      <c r="L43" s="257">
        <f>K43/3</f>
        <v>0</v>
      </c>
      <c r="M43" s="251">
        <v>0</v>
      </c>
      <c r="N43" s="293">
        <v>0</v>
      </c>
      <c r="O43" s="295" t="e">
        <f>N43/D43</f>
        <v>#DIV/0!</v>
      </c>
      <c r="P43" s="270">
        <v>0</v>
      </c>
      <c r="Q43" s="49" t="e">
        <f>P43/D43</f>
        <v>#DIV/0!</v>
      </c>
    </row>
    <row r="44" spans="1:17" ht="15">
      <c r="A44" s="590"/>
      <c r="B44" s="251">
        <v>3</v>
      </c>
      <c r="C44" s="251" t="s">
        <v>2</v>
      </c>
      <c r="D44" s="251">
        <v>6</v>
      </c>
      <c r="E44" s="7">
        <f>D44/26</f>
        <v>0.23076923076923078</v>
      </c>
      <c r="F44" s="284">
        <f>406/D44</f>
        <v>67.66666666666667</v>
      </c>
      <c r="G44" s="258">
        <f>210/D44</f>
        <v>35</v>
      </c>
      <c r="H44" s="257">
        <f>G44/50</f>
        <v>0.7</v>
      </c>
      <c r="I44" s="251">
        <v>0</v>
      </c>
      <c r="J44" s="257">
        <v>0</v>
      </c>
      <c r="K44" s="251">
        <v>6</v>
      </c>
      <c r="L44" s="316">
        <f>K44/6</f>
        <v>1</v>
      </c>
      <c r="M44" s="309">
        <v>67.7</v>
      </c>
      <c r="N44" s="293">
        <v>5</v>
      </c>
      <c r="O44" s="63">
        <f>N44/D44</f>
        <v>0.8333333333333334</v>
      </c>
      <c r="P44" s="270">
        <v>2</v>
      </c>
      <c r="Q44" s="63">
        <f>P44/D44</f>
        <v>0.3333333333333333</v>
      </c>
    </row>
    <row r="45" spans="1:17" ht="15">
      <c r="A45" s="590"/>
      <c r="B45" s="251">
        <v>4</v>
      </c>
      <c r="C45" s="251" t="s">
        <v>3</v>
      </c>
      <c r="D45" s="251">
        <v>1</v>
      </c>
      <c r="E45" s="7">
        <f>D45/25</f>
        <v>0.04</v>
      </c>
      <c r="F45" s="284">
        <f>60/D45</f>
        <v>60</v>
      </c>
      <c r="G45" s="258">
        <f>31/D45</f>
        <v>31</v>
      </c>
      <c r="H45" s="257">
        <f>G45/50</f>
        <v>0.62</v>
      </c>
      <c r="I45" s="251">
        <v>0</v>
      </c>
      <c r="J45" s="257">
        <f>I45/D45</f>
        <v>0</v>
      </c>
      <c r="K45" s="251">
        <v>0</v>
      </c>
      <c r="L45" s="257">
        <f>K45/8</f>
        <v>0</v>
      </c>
      <c r="M45" s="251">
        <v>0</v>
      </c>
      <c r="N45" s="293">
        <v>1</v>
      </c>
      <c r="O45" s="295">
        <f>N45/D45</f>
        <v>1</v>
      </c>
      <c r="P45" s="270">
        <v>0</v>
      </c>
      <c r="Q45" s="49">
        <f>P45/D45</f>
        <v>0</v>
      </c>
    </row>
    <row r="46" spans="1:17" ht="30">
      <c r="A46" s="590"/>
      <c r="B46" s="251">
        <v>5</v>
      </c>
      <c r="C46" s="251" t="s">
        <v>4</v>
      </c>
      <c r="D46" s="251"/>
      <c r="E46" s="7"/>
      <c r="F46" s="258"/>
      <c r="G46" s="258"/>
      <c r="H46" s="251"/>
      <c r="I46" s="251"/>
      <c r="J46" s="257"/>
      <c r="K46" s="251"/>
      <c r="L46" s="251"/>
      <c r="M46" s="251"/>
      <c r="N46" s="293"/>
      <c r="O46" s="295"/>
      <c r="P46" s="270"/>
      <c r="Q46" s="49"/>
    </row>
    <row r="47" spans="1:17" ht="30">
      <c r="A47" s="590"/>
      <c r="B47" s="251">
        <v>6</v>
      </c>
      <c r="C47" s="251" t="s">
        <v>5</v>
      </c>
      <c r="D47" s="251">
        <v>0</v>
      </c>
      <c r="E47" s="7">
        <f>D47/5</f>
        <v>0</v>
      </c>
      <c r="F47" s="258" t="e">
        <f>100/D47</f>
        <v>#DIV/0!</v>
      </c>
      <c r="G47" s="258" t="e">
        <f>43/D47</f>
        <v>#DIV/0!</v>
      </c>
      <c r="H47" s="257" t="e">
        <f>G47/50</f>
        <v>#DIV/0!</v>
      </c>
      <c r="I47" s="251">
        <v>0</v>
      </c>
      <c r="J47" s="257">
        <v>0</v>
      </c>
      <c r="K47" s="251">
        <v>0</v>
      </c>
      <c r="L47" s="251">
        <v>0</v>
      </c>
      <c r="M47" s="251">
        <v>0</v>
      </c>
      <c r="N47" s="293">
        <v>0</v>
      </c>
      <c r="O47" s="63" t="e">
        <f>N47/D47</f>
        <v>#DIV/0!</v>
      </c>
      <c r="P47" s="270">
        <v>0</v>
      </c>
      <c r="Q47" s="49" t="e">
        <f>P47/D47</f>
        <v>#DIV/0!</v>
      </c>
    </row>
    <row r="48" spans="1:17" ht="15">
      <c r="A48" s="590"/>
      <c r="B48" s="6"/>
      <c r="C48" s="6" t="s">
        <v>6</v>
      </c>
      <c r="D48" s="6">
        <f>SUM(D42:D47)</f>
        <v>26</v>
      </c>
      <c r="E48" s="10">
        <f>D48/123</f>
        <v>0.21138211382113822</v>
      </c>
      <c r="F48" s="280">
        <f>1679/D48</f>
        <v>64.57692307692308</v>
      </c>
      <c r="G48" s="67">
        <f>855/D48</f>
        <v>32.88461538461539</v>
      </c>
      <c r="H48" s="13">
        <f>855/(D48*50)</f>
        <v>0.6576923076923077</v>
      </c>
      <c r="I48" s="6">
        <f>SUM(I42:I47)</f>
        <v>0</v>
      </c>
      <c r="J48" s="13">
        <f>I48/D48</f>
        <v>0</v>
      </c>
      <c r="K48" s="6">
        <f>SUM(K42:K47)</f>
        <v>25</v>
      </c>
      <c r="L48" s="13">
        <f>K48/29</f>
        <v>0.8620689655172413</v>
      </c>
      <c r="M48" s="67">
        <v>68.1</v>
      </c>
      <c r="N48" s="296">
        <f>SUM(N42:N47)</f>
        <v>17</v>
      </c>
      <c r="O48" s="302">
        <f>N48/D48</f>
        <v>0.6538461538461539</v>
      </c>
      <c r="P48" s="50">
        <f>SUM(P42:P47)</f>
        <v>4</v>
      </c>
      <c r="Q48" s="302">
        <f>P48/D48</f>
        <v>0.15384615384615385</v>
      </c>
    </row>
    <row r="49" spans="1:17" ht="15">
      <c r="A49" s="590"/>
      <c r="B49" s="6"/>
      <c r="C49" s="6" t="s">
        <v>22</v>
      </c>
      <c r="D49" s="6"/>
      <c r="E49" s="6"/>
      <c r="F49" s="67">
        <v>56.45</v>
      </c>
      <c r="G49" s="67"/>
      <c r="H49" s="6"/>
      <c r="I49" s="6"/>
      <c r="J49" s="6"/>
      <c r="K49" s="6"/>
      <c r="L49" s="6"/>
      <c r="M49" s="6"/>
      <c r="N49" s="296"/>
      <c r="O49" s="296"/>
      <c r="P49" s="50"/>
      <c r="Q49" s="66"/>
    </row>
    <row r="50" spans="1:17" ht="15">
      <c r="A50" s="598" t="s">
        <v>138</v>
      </c>
      <c r="B50" s="251"/>
      <c r="C50" s="251"/>
      <c r="D50" s="590" t="s">
        <v>7</v>
      </c>
      <c r="E50" s="590"/>
      <c r="F50" s="590" t="s">
        <v>39</v>
      </c>
      <c r="G50" s="590" t="s">
        <v>20</v>
      </c>
      <c r="H50" s="590" t="s">
        <v>64</v>
      </c>
      <c r="I50" s="590" t="s">
        <v>9</v>
      </c>
      <c r="J50" s="590"/>
      <c r="K50" s="590" t="s">
        <v>13</v>
      </c>
      <c r="L50" s="590"/>
      <c r="M50" s="590"/>
      <c r="N50" s="587" t="s">
        <v>36</v>
      </c>
      <c r="O50" s="587"/>
      <c r="P50" s="587" t="s">
        <v>127</v>
      </c>
      <c r="Q50" s="587"/>
    </row>
    <row r="51" spans="1:17" ht="135">
      <c r="A51" s="590"/>
      <c r="B51" s="251"/>
      <c r="C51" s="251"/>
      <c r="D51" s="251" t="s">
        <v>8</v>
      </c>
      <c r="E51" s="251" t="s">
        <v>11</v>
      </c>
      <c r="F51" s="590"/>
      <c r="G51" s="590"/>
      <c r="H51" s="590"/>
      <c r="I51" s="251" t="s">
        <v>8</v>
      </c>
      <c r="J51" s="251" t="s">
        <v>10</v>
      </c>
      <c r="K51" s="251" t="s">
        <v>14</v>
      </c>
      <c r="L51" s="251" t="s">
        <v>12</v>
      </c>
      <c r="M51" s="251" t="s">
        <v>15</v>
      </c>
      <c r="N51" s="293" t="s">
        <v>8</v>
      </c>
      <c r="O51" s="293" t="s">
        <v>10</v>
      </c>
      <c r="P51" s="252" t="s">
        <v>8</v>
      </c>
      <c r="Q51" s="252" t="s">
        <v>10</v>
      </c>
    </row>
    <row r="52" spans="1:17" ht="15">
      <c r="A52" s="590"/>
      <c r="B52" s="16">
        <v>1</v>
      </c>
      <c r="C52" s="16" t="s">
        <v>0</v>
      </c>
      <c r="D52" s="16">
        <v>11</v>
      </c>
      <c r="E52" s="7">
        <f>D52/25</f>
        <v>0.44</v>
      </c>
      <c r="F52" s="100">
        <f>730/D52</f>
        <v>66.36363636363636</v>
      </c>
      <c r="G52" s="100">
        <f>368/D52</f>
        <v>33.45454545454545</v>
      </c>
      <c r="H52" s="98">
        <f>G52/50</f>
        <v>0.6690909090909091</v>
      </c>
      <c r="I52" s="16">
        <v>0</v>
      </c>
      <c r="J52" s="12">
        <f>I52/D52</f>
        <v>0</v>
      </c>
      <c r="K52" s="16">
        <v>11</v>
      </c>
      <c r="L52" s="7">
        <f>K52/12</f>
        <v>0.9166666666666666</v>
      </c>
      <c r="M52" s="11">
        <v>66.4</v>
      </c>
      <c r="N52" s="293">
        <v>8</v>
      </c>
      <c r="O52" s="63">
        <f>N52/D52</f>
        <v>0.7272727272727273</v>
      </c>
      <c r="P52" s="97">
        <v>1</v>
      </c>
      <c r="Q52" s="266">
        <f>P52/D52</f>
        <v>0.09090909090909091</v>
      </c>
    </row>
    <row r="53" spans="1:17" ht="15">
      <c r="A53" s="590"/>
      <c r="B53" s="16">
        <v>2</v>
      </c>
      <c r="C53" s="16" t="s">
        <v>1</v>
      </c>
      <c r="D53" s="16">
        <v>2</v>
      </c>
      <c r="E53" s="7">
        <f>D53/20</f>
        <v>0.1</v>
      </c>
      <c r="F53" s="100">
        <f>85/D53</f>
        <v>42.5</v>
      </c>
      <c r="G53" s="100">
        <f>29/D53</f>
        <v>14.5</v>
      </c>
      <c r="H53" s="137">
        <f>G53/50</f>
        <v>0.29</v>
      </c>
      <c r="I53" s="16">
        <v>0</v>
      </c>
      <c r="J53" s="12">
        <f>I53/D53</f>
        <v>0</v>
      </c>
      <c r="K53" s="16">
        <v>2</v>
      </c>
      <c r="L53" s="12">
        <f>K53/3</f>
        <v>0.6666666666666666</v>
      </c>
      <c r="M53" s="16">
        <v>42.5</v>
      </c>
      <c r="N53" s="293">
        <v>0</v>
      </c>
      <c r="O53" s="295">
        <f>N53/D53</f>
        <v>0</v>
      </c>
      <c r="P53" s="97">
        <v>0</v>
      </c>
      <c r="Q53" s="267">
        <f>P53/D53</f>
        <v>0</v>
      </c>
    </row>
    <row r="54" spans="1:17" ht="15">
      <c r="A54" s="590"/>
      <c r="B54" s="16">
        <v>3</v>
      </c>
      <c r="C54" s="16" t="s">
        <v>2</v>
      </c>
      <c r="D54" s="16">
        <v>9</v>
      </c>
      <c r="E54" s="7">
        <f>D54/27</f>
        <v>0.3333333333333333</v>
      </c>
      <c r="F54" s="100">
        <f>550/D54</f>
        <v>61.111111111111114</v>
      </c>
      <c r="G54" s="100">
        <f>268/D54</f>
        <v>29.77777777777778</v>
      </c>
      <c r="H54" s="98">
        <f>G54/50</f>
        <v>0.5955555555555556</v>
      </c>
      <c r="I54" s="16">
        <v>0</v>
      </c>
      <c r="J54" s="12">
        <v>0</v>
      </c>
      <c r="K54" s="16">
        <v>8</v>
      </c>
      <c r="L54" s="7">
        <f>K54/9</f>
        <v>0.8888888888888888</v>
      </c>
      <c r="M54" s="11">
        <f>510/D54</f>
        <v>56.666666666666664</v>
      </c>
      <c r="N54" s="293">
        <v>7</v>
      </c>
      <c r="O54" s="63">
        <f>N54/D54</f>
        <v>0.7777777777777778</v>
      </c>
      <c r="P54" s="97">
        <v>1</v>
      </c>
      <c r="Q54" s="63">
        <f>P54/D54</f>
        <v>0.1111111111111111</v>
      </c>
    </row>
    <row r="55" spans="1:17" ht="15">
      <c r="A55" s="590"/>
      <c r="B55" s="16">
        <v>4</v>
      </c>
      <c r="C55" s="16" t="s">
        <v>3</v>
      </c>
      <c r="D55" s="16">
        <v>2</v>
      </c>
      <c r="E55" s="7">
        <f>D55/28</f>
        <v>0.07142857142857142</v>
      </c>
      <c r="F55" s="100">
        <f>116/D55</f>
        <v>58</v>
      </c>
      <c r="G55" s="100">
        <f>50/D55</f>
        <v>25</v>
      </c>
      <c r="H55" s="98">
        <f>G55/50</f>
        <v>0.5</v>
      </c>
      <c r="I55" s="16">
        <v>0</v>
      </c>
      <c r="J55" s="12">
        <f>I55/D55</f>
        <v>0</v>
      </c>
      <c r="K55" s="16">
        <v>0</v>
      </c>
      <c r="L55" s="12">
        <f>K55/8</f>
        <v>0</v>
      </c>
      <c r="M55" s="16">
        <v>0</v>
      </c>
      <c r="N55" s="293">
        <v>1</v>
      </c>
      <c r="O55" s="295">
        <f>N55/D55</f>
        <v>0.5</v>
      </c>
      <c r="P55" s="97">
        <v>1</v>
      </c>
      <c r="Q55" s="49">
        <f>P55/D55</f>
        <v>0.5</v>
      </c>
    </row>
    <row r="56" spans="1:17" ht="30">
      <c r="A56" s="590"/>
      <c r="B56" s="16">
        <v>5</v>
      </c>
      <c r="C56" s="16" t="s">
        <v>4</v>
      </c>
      <c r="D56" s="16"/>
      <c r="E56" s="7"/>
      <c r="F56" s="100"/>
      <c r="G56" s="100"/>
      <c r="H56" s="96"/>
      <c r="I56" s="16"/>
      <c r="J56" s="12"/>
      <c r="K56" s="16"/>
      <c r="L56" s="16"/>
      <c r="M56" s="16"/>
      <c r="N56" s="293"/>
      <c r="O56" s="295"/>
      <c r="P56" s="97"/>
      <c r="Q56" s="49"/>
    </row>
    <row r="57" spans="1:17" ht="30">
      <c r="A57" s="590"/>
      <c r="B57" s="16">
        <v>6</v>
      </c>
      <c r="C57" s="16" t="s">
        <v>5</v>
      </c>
      <c r="D57" s="16">
        <v>2</v>
      </c>
      <c r="E57" s="7">
        <f>D57/5</f>
        <v>0.4</v>
      </c>
      <c r="F57" s="100">
        <f>100/D57</f>
        <v>50</v>
      </c>
      <c r="G57" s="100">
        <f>43/D57</f>
        <v>21.5</v>
      </c>
      <c r="H57" s="163">
        <f>G57/50</f>
        <v>0.43</v>
      </c>
      <c r="I57" s="16">
        <v>0</v>
      </c>
      <c r="J57" s="12">
        <v>0</v>
      </c>
      <c r="K57" s="16">
        <v>0</v>
      </c>
      <c r="L57" s="16">
        <v>0</v>
      </c>
      <c r="M57" s="16">
        <v>0</v>
      </c>
      <c r="N57" s="293">
        <v>0</v>
      </c>
      <c r="O57" s="63">
        <f>N57/D57</f>
        <v>0</v>
      </c>
      <c r="P57" s="97">
        <v>0</v>
      </c>
      <c r="Q57" s="49">
        <f>P57/D57</f>
        <v>0</v>
      </c>
    </row>
    <row r="58" spans="1:17" ht="15">
      <c r="A58" s="590"/>
      <c r="B58" s="6"/>
      <c r="C58" s="6" t="s">
        <v>6</v>
      </c>
      <c r="D58" s="6">
        <f>SUM(D52:D57)</f>
        <v>26</v>
      </c>
      <c r="E58" s="10">
        <f>D58/107</f>
        <v>0.24299065420560748</v>
      </c>
      <c r="F58" s="67">
        <f>1581/D58</f>
        <v>60.80769230769231</v>
      </c>
      <c r="G58" s="67">
        <f>758/D58</f>
        <v>29.153846153846153</v>
      </c>
      <c r="H58" s="13">
        <f>758/(D58*50)</f>
        <v>0.583076923076923</v>
      </c>
      <c r="I58" s="6">
        <f>SUM(I52:I57)</f>
        <v>0</v>
      </c>
      <c r="J58" s="13">
        <f>I58/D58</f>
        <v>0</v>
      </c>
      <c r="K58" s="6">
        <f>SUM(K52:K57)</f>
        <v>21</v>
      </c>
      <c r="L58" s="13">
        <f>K58/24</f>
        <v>0.875</v>
      </c>
      <c r="M58" s="67">
        <v>68.1</v>
      </c>
      <c r="N58" s="296">
        <f>SUM(N52:N57)</f>
        <v>16</v>
      </c>
      <c r="O58" s="298">
        <f>N58/D58</f>
        <v>0.6153846153846154</v>
      </c>
      <c r="P58" s="50">
        <f>SUM(P52:P57)</f>
        <v>3</v>
      </c>
      <c r="Q58" s="66">
        <f>P58/D58</f>
        <v>0.11538461538461539</v>
      </c>
    </row>
    <row r="59" spans="1:17" ht="15">
      <c r="A59" s="590"/>
      <c r="B59" s="6"/>
      <c r="C59" s="6" t="s">
        <v>22</v>
      </c>
      <c r="D59" s="6"/>
      <c r="E59" s="6"/>
      <c r="F59" s="67">
        <v>55.52</v>
      </c>
      <c r="G59" s="67"/>
      <c r="H59" s="6"/>
      <c r="I59" s="6"/>
      <c r="J59" s="6"/>
      <c r="K59" s="6"/>
      <c r="L59" s="6"/>
      <c r="M59" s="6"/>
      <c r="N59" s="296"/>
      <c r="O59" s="296">
        <v>42.83</v>
      </c>
      <c r="P59" s="50"/>
      <c r="Q59" s="66">
        <v>0.0422</v>
      </c>
    </row>
  </sheetData>
  <sheetProtection/>
  <mergeCells count="168">
    <mergeCell ref="R2:S2"/>
    <mergeCell ref="P15:Q15"/>
    <mergeCell ref="B14:N14"/>
    <mergeCell ref="A15:A24"/>
    <mergeCell ref="D15:E15"/>
    <mergeCell ref="F15:F16"/>
    <mergeCell ref="G15:G16"/>
    <mergeCell ref="H15:H16"/>
    <mergeCell ref="I15:J15"/>
    <mergeCell ref="K15:M15"/>
    <mergeCell ref="N15:O15"/>
    <mergeCell ref="B27:N27"/>
    <mergeCell ref="A28:A37"/>
    <mergeCell ref="D28:E28"/>
    <mergeCell ref="F28:F29"/>
    <mergeCell ref="G28:G29"/>
    <mergeCell ref="H28:H29"/>
    <mergeCell ref="I28:J28"/>
    <mergeCell ref="K28:M28"/>
    <mergeCell ref="N28:O28"/>
    <mergeCell ref="IO18:IP18"/>
    <mergeCell ref="IQ18:IR18"/>
    <mergeCell ref="A40:A49"/>
    <mergeCell ref="A50:A59"/>
    <mergeCell ref="IE18:IF18"/>
    <mergeCell ref="IG18:IG19"/>
    <mergeCell ref="IH18:IH19"/>
    <mergeCell ref="II18:II19"/>
    <mergeCell ref="IJ18:IK18"/>
    <mergeCell ref="IL18:IN18"/>
    <mergeCell ref="HR18:HR19"/>
    <mergeCell ref="HS18:HS19"/>
    <mergeCell ref="HT18:HU18"/>
    <mergeCell ref="HV18:HX18"/>
    <mergeCell ref="HY18:HZ18"/>
    <mergeCell ref="IA18:IB18"/>
    <mergeCell ref="HD18:HE18"/>
    <mergeCell ref="HF18:HH18"/>
    <mergeCell ref="HI18:HJ18"/>
    <mergeCell ref="HK18:HL18"/>
    <mergeCell ref="HO18:HP18"/>
    <mergeCell ref="HQ18:HQ19"/>
    <mergeCell ref="GS18:GT18"/>
    <mergeCell ref="GU18:GV18"/>
    <mergeCell ref="GY18:GZ18"/>
    <mergeCell ref="HA18:HA19"/>
    <mergeCell ref="HB18:HB19"/>
    <mergeCell ref="HC18:HC19"/>
    <mergeCell ref="GI18:GJ18"/>
    <mergeCell ref="GK18:GK19"/>
    <mergeCell ref="GL18:GL19"/>
    <mergeCell ref="GM18:GM19"/>
    <mergeCell ref="GN18:GO18"/>
    <mergeCell ref="GP18:GR18"/>
    <mergeCell ref="FV18:FV19"/>
    <mergeCell ref="FW18:FW19"/>
    <mergeCell ref="FX18:FY18"/>
    <mergeCell ref="FZ18:GB18"/>
    <mergeCell ref="GC18:GD18"/>
    <mergeCell ref="GE18:GF18"/>
    <mergeCell ref="FH18:FI18"/>
    <mergeCell ref="FJ18:FL18"/>
    <mergeCell ref="FM18:FN18"/>
    <mergeCell ref="FO18:FP18"/>
    <mergeCell ref="FS18:FT18"/>
    <mergeCell ref="FU18:FU19"/>
    <mergeCell ref="EW18:EX18"/>
    <mergeCell ref="EY18:EZ18"/>
    <mergeCell ref="FC18:FD18"/>
    <mergeCell ref="FE18:FE19"/>
    <mergeCell ref="FF18:FF19"/>
    <mergeCell ref="FG18:FG19"/>
    <mergeCell ref="EM18:EN18"/>
    <mergeCell ref="EO18:EO19"/>
    <mergeCell ref="EP18:EP19"/>
    <mergeCell ref="EQ18:EQ19"/>
    <mergeCell ref="ER18:ES18"/>
    <mergeCell ref="ET18:EV18"/>
    <mergeCell ref="DZ18:DZ19"/>
    <mergeCell ref="EA18:EA19"/>
    <mergeCell ref="EB18:EC18"/>
    <mergeCell ref="ED18:EF18"/>
    <mergeCell ref="EG18:EH18"/>
    <mergeCell ref="EI18:EJ18"/>
    <mergeCell ref="DL18:DM18"/>
    <mergeCell ref="DN18:DP18"/>
    <mergeCell ref="DQ18:DR18"/>
    <mergeCell ref="DS18:DT18"/>
    <mergeCell ref="DW18:DX18"/>
    <mergeCell ref="DY18:DY19"/>
    <mergeCell ref="DA18:DB18"/>
    <mergeCell ref="DC18:DD18"/>
    <mergeCell ref="DG18:DH18"/>
    <mergeCell ref="DI18:DI19"/>
    <mergeCell ref="DJ18:DJ19"/>
    <mergeCell ref="DK18:DK19"/>
    <mergeCell ref="CQ18:CR18"/>
    <mergeCell ref="CS18:CS19"/>
    <mergeCell ref="CT18:CT19"/>
    <mergeCell ref="CU18:CU19"/>
    <mergeCell ref="CV18:CW18"/>
    <mergeCell ref="CX18:CZ18"/>
    <mergeCell ref="CD18:CD19"/>
    <mergeCell ref="CE18:CE19"/>
    <mergeCell ref="CF18:CG18"/>
    <mergeCell ref="CH18:CJ18"/>
    <mergeCell ref="CK18:CL18"/>
    <mergeCell ref="CM18:CN18"/>
    <mergeCell ref="BP18:BQ18"/>
    <mergeCell ref="BR18:BT18"/>
    <mergeCell ref="BU18:BV18"/>
    <mergeCell ref="BW18:BX18"/>
    <mergeCell ref="CA18:CB18"/>
    <mergeCell ref="CC18:CC19"/>
    <mergeCell ref="BE18:BF18"/>
    <mergeCell ref="BG18:BH18"/>
    <mergeCell ref="BK18:BL18"/>
    <mergeCell ref="BM18:BM19"/>
    <mergeCell ref="BN18:BN19"/>
    <mergeCell ref="BO18:BO19"/>
    <mergeCell ref="AU18:AV18"/>
    <mergeCell ref="AW18:AW19"/>
    <mergeCell ref="AX18:AX19"/>
    <mergeCell ref="AY18:AY19"/>
    <mergeCell ref="AZ18:BA18"/>
    <mergeCell ref="BB18:BD18"/>
    <mergeCell ref="AH18:AH19"/>
    <mergeCell ref="AI18:AI19"/>
    <mergeCell ref="AJ18:AK18"/>
    <mergeCell ref="AL18:AN18"/>
    <mergeCell ref="AO18:AP18"/>
    <mergeCell ref="AQ18:AR18"/>
    <mergeCell ref="T18:U18"/>
    <mergeCell ref="V18:X18"/>
    <mergeCell ref="Y18:Z18"/>
    <mergeCell ref="AA18:AB18"/>
    <mergeCell ref="AE18:AF18"/>
    <mergeCell ref="AG18:AG19"/>
    <mergeCell ref="P40:Q40"/>
    <mergeCell ref="R18:R19"/>
    <mergeCell ref="S18:S19"/>
    <mergeCell ref="D40:E40"/>
    <mergeCell ref="F40:F41"/>
    <mergeCell ref="G40:G41"/>
    <mergeCell ref="H40:H41"/>
    <mergeCell ref="I40:J40"/>
    <mergeCell ref="K40:M40"/>
    <mergeCell ref="P28:Q28"/>
    <mergeCell ref="P50:Q50"/>
    <mergeCell ref="B39:N39"/>
    <mergeCell ref="D50:E50"/>
    <mergeCell ref="F50:F51"/>
    <mergeCell ref="I50:J50"/>
    <mergeCell ref="K50:M50"/>
    <mergeCell ref="N50:O50"/>
    <mergeCell ref="G50:G51"/>
    <mergeCell ref="H50:H51"/>
    <mergeCell ref="N40:O40"/>
    <mergeCell ref="P2:Q2"/>
    <mergeCell ref="B1:N1"/>
    <mergeCell ref="A2:A11"/>
    <mergeCell ref="D2:E2"/>
    <mergeCell ref="F2:F3"/>
    <mergeCell ref="G2:G3"/>
    <mergeCell ref="H2:H3"/>
    <mergeCell ref="I2:J2"/>
    <mergeCell ref="K2:M2"/>
    <mergeCell ref="N2:O2"/>
  </mergeCells>
  <printOptions/>
  <pageMargins left="0.7" right="0.7" top="0.75" bottom="0.75" header="0.3" footer="0.3"/>
  <pageSetup horizontalDpi="600" verticalDpi="600" orientation="landscape" paperSize="9" scale="67" r:id="rId1"/>
  <rowBreaks count="3" manualBreakCount="3">
    <brk id="13" max="18" man="1"/>
    <brk id="37" max="18" man="1"/>
    <brk id="49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R98"/>
  <sheetViews>
    <sheetView view="pageBreakPreview" zoomScaleSheetLayoutView="100" zoomScalePageLayoutView="0" workbookViewId="0" topLeftCell="A4">
      <selection activeCell="E4" sqref="E4"/>
    </sheetView>
  </sheetViews>
  <sheetFormatPr defaultColWidth="9.140625" defaultRowHeight="15"/>
  <cols>
    <col min="1" max="1" width="6.421875" style="3" customWidth="1"/>
    <col min="2" max="2" width="10.28125" style="3" customWidth="1"/>
    <col min="3" max="3" width="6.00390625" style="3" customWidth="1"/>
    <col min="4" max="4" width="8.140625" style="3" customWidth="1"/>
    <col min="5" max="5" width="8.57421875" style="69" customWidth="1"/>
    <col min="6" max="6" width="8.00390625" style="69" customWidth="1"/>
    <col min="7" max="7" width="8.57421875" style="69" customWidth="1"/>
    <col min="8" max="8" width="9.8515625" style="3" customWidth="1"/>
    <col min="9" max="9" width="9.00390625" style="3" customWidth="1"/>
    <col min="10" max="10" width="9.8515625" style="3" customWidth="1"/>
    <col min="11" max="11" width="8.8515625" style="3" customWidth="1"/>
    <col min="12" max="12" width="7.8515625" style="71" customWidth="1"/>
    <col min="13" max="13" width="0" style="3" hidden="1" customWidth="1"/>
    <col min="14" max="14" width="7.140625" style="3" hidden="1" customWidth="1"/>
    <col min="15" max="15" width="10.7109375" style="3" hidden="1" customWidth="1"/>
    <col min="16" max="16" width="6.28125" style="61" customWidth="1"/>
    <col min="17" max="17" width="11.57421875" style="61" customWidth="1"/>
    <col min="18" max="18" width="4.8515625" style="61" customWidth="1"/>
    <col min="19" max="19" width="10.28125" style="61" customWidth="1"/>
    <col min="20" max="20" width="5.421875" style="3" customWidth="1"/>
    <col min="21" max="21" width="11.57421875" style="3" bestFit="1" customWidth="1"/>
    <col min="22" max="23" width="9.140625" style="3" customWidth="1"/>
    <col min="24" max="24" width="4.7109375" style="3" customWidth="1"/>
    <col min="25" max="16384" width="9.140625" style="3" customWidth="1"/>
  </cols>
  <sheetData>
    <row r="1" spans="1:25" s="476" customFormat="1" ht="15">
      <c r="A1" s="588" t="s">
        <v>276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46"/>
      <c r="O1" s="546"/>
      <c r="P1" s="548"/>
      <c r="Q1" s="548"/>
      <c r="R1" s="548"/>
      <c r="S1" s="548"/>
      <c r="T1" s="546"/>
      <c r="U1" s="546"/>
      <c r="V1" s="546"/>
      <c r="W1" s="546"/>
      <c r="X1" s="546"/>
      <c r="Y1" s="546"/>
    </row>
    <row r="2" spans="1:252" s="476" customFormat="1" ht="87" customHeight="1">
      <c r="A2" s="547"/>
      <c r="B2" s="547"/>
      <c r="C2" s="590" t="s">
        <v>7</v>
      </c>
      <c r="D2" s="590"/>
      <c r="E2" s="621" t="s">
        <v>47</v>
      </c>
      <c r="F2" s="622" t="s">
        <v>20</v>
      </c>
      <c r="G2" s="622" t="s">
        <v>48</v>
      </c>
      <c r="H2" s="590" t="s">
        <v>9</v>
      </c>
      <c r="I2" s="590"/>
      <c r="J2" s="590" t="s">
        <v>13</v>
      </c>
      <c r="K2" s="590"/>
      <c r="L2" s="590"/>
      <c r="M2" s="546"/>
      <c r="N2" s="546"/>
      <c r="O2" s="546"/>
      <c r="P2" s="587" t="s">
        <v>288</v>
      </c>
      <c r="Q2" s="587"/>
      <c r="R2" s="587" t="s">
        <v>211</v>
      </c>
      <c r="S2" s="587"/>
      <c r="T2" s="618" t="s">
        <v>218</v>
      </c>
      <c r="U2" s="618"/>
      <c r="V2" s="619" t="s">
        <v>219</v>
      </c>
      <c r="W2" s="619"/>
      <c r="X2" s="620" t="s">
        <v>223</v>
      </c>
      <c r="Y2" s="620"/>
      <c r="Z2" s="144"/>
      <c r="AA2" s="486"/>
      <c r="AB2" s="486"/>
      <c r="AC2" s="145"/>
      <c r="AD2" s="486"/>
      <c r="AE2" s="486"/>
      <c r="AF2" s="486"/>
      <c r="AG2" s="146"/>
      <c r="AH2" s="147"/>
      <c r="AI2" s="146"/>
      <c r="AJ2" s="148"/>
      <c r="AK2" s="139"/>
      <c r="AL2" s="140"/>
      <c r="AM2" s="486"/>
      <c r="AN2" s="486"/>
      <c r="AO2" s="486"/>
      <c r="AP2" s="142"/>
      <c r="AQ2" s="143"/>
      <c r="AR2" s="143"/>
      <c r="AS2" s="134"/>
      <c r="AT2" s="486"/>
      <c r="AU2" s="144"/>
      <c r="AV2" s="486"/>
      <c r="AW2" s="486"/>
      <c r="AX2" s="145"/>
      <c r="AY2" s="486"/>
      <c r="AZ2" s="486"/>
      <c r="BA2" s="486"/>
      <c r="BB2" s="146"/>
      <c r="BC2" s="147"/>
      <c r="BD2" s="146"/>
      <c r="BE2" s="148"/>
      <c r="BF2" s="139"/>
      <c r="BG2" s="140"/>
      <c r="BH2" s="486"/>
      <c r="BI2" s="486"/>
      <c r="BJ2" s="486"/>
      <c r="BK2" s="142"/>
      <c r="BL2" s="143"/>
      <c r="BM2" s="143"/>
      <c r="BN2" s="134"/>
      <c r="BO2" s="486"/>
      <c r="BP2" s="144"/>
      <c r="BQ2" s="486"/>
      <c r="BR2" s="486"/>
      <c r="BS2" s="201"/>
      <c r="BT2" s="475"/>
      <c r="BU2" s="475"/>
      <c r="BV2" s="475"/>
      <c r="BW2" s="296"/>
      <c r="BX2" s="298"/>
      <c r="BY2" s="296"/>
      <c r="BZ2" s="295"/>
      <c r="CA2" s="29"/>
      <c r="CB2" s="117"/>
      <c r="CC2" s="485"/>
      <c r="CD2" s="485"/>
      <c r="CE2" s="485"/>
      <c r="CF2" s="292"/>
      <c r="CG2" s="67"/>
      <c r="CH2" s="67"/>
      <c r="CI2" s="13"/>
      <c r="CJ2" s="485"/>
      <c r="CK2" s="482"/>
      <c r="CL2" s="485"/>
      <c r="CM2" s="485"/>
      <c r="CN2" s="54"/>
      <c r="CO2" s="475"/>
      <c r="CP2" s="475"/>
      <c r="CQ2" s="475"/>
      <c r="CR2" s="296"/>
      <c r="CS2" s="298"/>
      <c r="CT2" s="296"/>
      <c r="CU2" s="295"/>
      <c r="CV2" s="29"/>
      <c r="CW2" s="117"/>
      <c r="CX2" s="485"/>
      <c r="CY2" s="485"/>
      <c r="CZ2" s="485"/>
      <c r="DA2" s="292"/>
      <c r="DB2" s="67"/>
      <c r="DC2" s="67"/>
      <c r="DD2" s="13"/>
      <c r="DE2" s="485"/>
      <c r="DF2" s="482"/>
      <c r="DG2" s="485"/>
      <c r="DH2" s="485"/>
      <c r="DI2" s="54"/>
      <c r="DJ2" s="475"/>
      <c r="DK2" s="475"/>
      <c r="DL2" s="475"/>
      <c r="DM2" s="296"/>
      <c r="DN2" s="298"/>
      <c r="DO2" s="296"/>
      <c r="DP2" s="295"/>
      <c r="DQ2" s="29"/>
      <c r="DR2" s="117"/>
      <c r="DS2" s="485"/>
      <c r="DT2" s="485"/>
      <c r="DU2" s="485"/>
      <c r="DV2" s="292"/>
      <c r="DW2" s="67"/>
      <c r="DX2" s="67"/>
      <c r="DY2" s="13"/>
      <c r="DZ2" s="485"/>
      <c r="EA2" s="482"/>
      <c r="EB2" s="485"/>
      <c r="EC2" s="485"/>
      <c r="ED2" s="54"/>
      <c r="EE2" s="475"/>
      <c r="EF2" s="475"/>
      <c r="EG2" s="475"/>
      <c r="EH2" s="296"/>
      <c r="EI2" s="298"/>
      <c r="EJ2" s="296"/>
      <c r="EK2" s="295"/>
      <c r="EL2" s="29"/>
      <c r="EM2" s="117"/>
      <c r="EN2" s="485"/>
      <c r="EO2" s="485"/>
      <c r="EP2" s="485"/>
      <c r="EQ2" s="292"/>
      <c r="ER2" s="67"/>
      <c r="ES2" s="67"/>
      <c r="ET2" s="13"/>
      <c r="EU2" s="485"/>
      <c r="EV2" s="482"/>
      <c r="EW2" s="485"/>
      <c r="EX2" s="485"/>
      <c r="EY2" s="54"/>
      <c r="EZ2" s="475"/>
      <c r="FA2" s="475"/>
      <c r="FB2" s="475"/>
      <c r="FC2" s="296"/>
      <c r="FD2" s="298"/>
      <c r="FE2" s="296"/>
      <c r="FF2" s="295"/>
      <c r="FG2" s="29"/>
      <c r="FH2" s="117"/>
      <c r="FI2" s="485"/>
      <c r="FJ2" s="485"/>
      <c r="FK2" s="485"/>
      <c r="FL2" s="292"/>
      <c r="FM2" s="67"/>
      <c r="FN2" s="67"/>
      <c r="FO2" s="13"/>
      <c r="FP2" s="485"/>
      <c r="FQ2" s="482"/>
      <c r="FR2" s="485"/>
      <c r="FS2" s="485"/>
      <c r="FT2" s="54"/>
      <c r="FU2" s="475"/>
      <c r="FV2" s="475"/>
      <c r="FW2" s="475"/>
      <c r="FX2" s="296"/>
      <c r="FY2" s="298"/>
      <c r="FZ2" s="296"/>
      <c r="GA2" s="295"/>
      <c r="GB2" s="29"/>
      <c r="GC2" s="117"/>
      <c r="GD2" s="485"/>
      <c r="GE2" s="485"/>
      <c r="GF2" s="485"/>
      <c r="GG2" s="292"/>
      <c r="GH2" s="67"/>
      <c r="GI2" s="67"/>
      <c r="GJ2" s="13"/>
      <c r="GK2" s="485"/>
      <c r="GL2" s="482"/>
      <c r="GM2" s="485"/>
      <c r="GN2" s="485"/>
      <c r="GO2" s="54"/>
      <c r="GP2" s="475"/>
      <c r="GQ2" s="475"/>
      <c r="GR2" s="475"/>
      <c r="GS2" s="296"/>
      <c r="GT2" s="298"/>
      <c r="GU2" s="296"/>
      <c r="GV2" s="295"/>
      <c r="GW2" s="29"/>
      <c r="GX2" s="117"/>
      <c r="GY2" s="485"/>
      <c r="GZ2" s="485"/>
      <c r="HA2" s="485"/>
      <c r="HB2" s="292"/>
      <c r="HC2" s="67"/>
      <c r="HD2" s="67"/>
      <c r="HE2" s="13"/>
      <c r="HF2" s="485"/>
      <c r="HG2" s="482"/>
      <c r="HH2" s="485"/>
      <c r="HI2" s="485"/>
      <c r="HJ2" s="54"/>
      <c r="HK2" s="475"/>
      <c r="HL2" s="475"/>
      <c r="HM2" s="475"/>
      <c r="HN2" s="296"/>
      <c r="HO2" s="298"/>
      <c r="HP2" s="296"/>
      <c r="HQ2" s="295"/>
      <c r="HR2" s="29"/>
      <c r="HS2" s="117"/>
      <c r="HT2" s="485"/>
      <c r="HU2" s="485"/>
      <c r="HV2" s="485"/>
      <c r="HW2" s="292"/>
      <c r="HX2" s="67"/>
      <c r="HY2" s="67"/>
      <c r="HZ2" s="13"/>
      <c r="IA2" s="485"/>
      <c r="IB2" s="482"/>
      <c r="IC2" s="485"/>
      <c r="ID2" s="485"/>
      <c r="IE2" s="54"/>
      <c r="IF2" s="475"/>
      <c r="IG2" s="475"/>
      <c r="IH2" s="475"/>
      <c r="II2" s="296"/>
      <c r="IJ2" s="298"/>
      <c r="IK2" s="296"/>
      <c r="IL2" s="295"/>
      <c r="IM2" s="29"/>
      <c r="IN2" s="117"/>
      <c r="IO2" s="485"/>
      <c r="IP2" s="485"/>
      <c r="IQ2" s="485"/>
      <c r="IR2" s="292"/>
    </row>
    <row r="3" spans="1:70" s="476" customFormat="1" ht="182.25" customHeight="1">
      <c r="A3" s="547"/>
      <c r="B3" s="547"/>
      <c r="C3" s="547" t="s">
        <v>8</v>
      </c>
      <c r="D3" s="547" t="s">
        <v>11</v>
      </c>
      <c r="E3" s="621"/>
      <c r="F3" s="623"/>
      <c r="G3" s="623"/>
      <c r="H3" s="547" t="s">
        <v>8</v>
      </c>
      <c r="I3" s="547" t="s">
        <v>10</v>
      </c>
      <c r="J3" s="547" t="s">
        <v>14</v>
      </c>
      <c r="K3" s="547" t="s">
        <v>12</v>
      </c>
      <c r="L3" s="53" t="s">
        <v>15</v>
      </c>
      <c r="M3" s="546"/>
      <c r="N3" s="546"/>
      <c r="O3" s="546"/>
      <c r="P3" s="553" t="s">
        <v>8</v>
      </c>
      <c r="Q3" s="553" t="s">
        <v>10</v>
      </c>
      <c r="R3" s="545" t="s">
        <v>8</v>
      </c>
      <c r="S3" s="545" t="s">
        <v>10</v>
      </c>
      <c r="T3" s="423" t="s">
        <v>8</v>
      </c>
      <c r="U3" s="423" t="s">
        <v>10</v>
      </c>
      <c r="V3" s="423" t="s">
        <v>8</v>
      </c>
      <c r="W3" s="423" t="s">
        <v>10</v>
      </c>
      <c r="X3" s="545" t="s">
        <v>8</v>
      </c>
      <c r="Y3" s="545" t="s">
        <v>10</v>
      </c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</row>
    <row r="4" spans="1:26" s="476" customFormat="1" ht="24" customHeight="1">
      <c r="A4" s="547">
        <v>1</v>
      </c>
      <c r="B4" s="547" t="s">
        <v>0</v>
      </c>
      <c r="C4" s="545">
        <v>5</v>
      </c>
      <c r="D4" s="48">
        <v>0.2381</v>
      </c>
      <c r="E4" s="94">
        <v>60.2</v>
      </c>
      <c r="F4" s="94">
        <v>12.2</v>
      </c>
      <c r="G4" s="499">
        <v>0.3813</v>
      </c>
      <c r="H4" s="545">
        <v>0</v>
      </c>
      <c r="I4" s="499">
        <v>0</v>
      </c>
      <c r="J4" s="545">
        <v>5</v>
      </c>
      <c r="K4" s="295">
        <v>0.8333</v>
      </c>
      <c r="L4" s="94">
        <v>60.2</v>
      </c>
      <c r="M4" s="548"/>
      <c r="N4" s="548"/>
      <c r="O4" s="548"/>
      <c r="P4" s="70">
        <v>3</v>
      </c>
      <c r="Q4" s="295">
        <v>0.6</v>
      </c>
      <c r="R4" s="545">
        <v>0</v>
      </c>
      <c r="S4" s="295">
        <v>0</v>
      </c>
      <c r="T4" s="423">
        <v>2</v>
      </c>
      <c r="U4" s="295">
        <v>0.4</v>
      </c>
      <c r="V4" s="423">
        <v>3</v>
      </c>
      <c r="W4" s="305">
        <v>0.6</v>
      </c>
      <c r="X4" s="580">
        <v>0</v>
      </c>
      <c r="Y4" s="499">
        <v>0</v>
      </c>
      <c r="Z4" s="69"/>
    </row>
    <row r="5" spans="1:26" s="476" customFormat="1" ht="15" customHeight="1">
      <c r="A5" s="547">
        <v>2</v>
      </c>
      <c r="B5" s="547" t="s">
        <v>1</v>
      </c>
      <c r="C5" s="545">
        <v>5</v>
      </c>
      <c r="D5" s="48">
        <v>0.38</v>
      </c>
      <c r="E5" s="70">
        <v>62.6</v>
      </c>
      <c r="F5" s="70">
        <v>13.4</v>
      </c>
      <c r="G5" s="499">
        <v>0.41</v>
      </c>
      <c r="H5" s="551">
        <v>0</v>
      </c>
      <c r="I5" s="499">
        <v>0</v>
      </c>
      <c r="J5" s="551">
        <v>0</v>
      </c>
      <c r="K5" s="48">
        <v>0</v>
      </c>
      <c r="L5" s="70">
        <v>0</v>
      </c>
      <c r="M5" s="548"/>
      <c r="N5" s="548"/>
      <c r="O5" s="548"/>
      <c r="P5" s="70">
        <v>3</v>
      </c>
      <c r="Q5" s="295">
        <v>0.6</v>
      </c>
      <c r="R5" s="545">
        <v>1</v>
      </c>
      <c r="S5" s="305">
        <v>0.2</v>
      </c>
      <c r="T5" s="423">
        <v>2</v>
      </c>
      <c r="U5" s="295">
        <v>0.4</v>
      </c>
      <c r="V5" s="423">
        <v>2</v>
      </c>
      <c r="W5" s="295">
        <v>0.4</v>
      </c>
      <c r="X5" s="580">
        <v>0</v>
      </c>
      <c r="Y5" s="499">
        <v>0</v>
      </c>
      <c r="Z5" s="69"/>
    </row>
    <row r="6" spans="1:26" s="476" customFormat="1" ht="15">
      <c r="A6" s="547">
        <v>3</v>
      </c>
      <c r="B6" s="547" t="s">
        <v>2</v>
      </c>
      <c r="C6" s="545">
        <v>13</v>
      </c>
      <c r="D6" s="48">
        <v>0.63</v>
      </c>
      <c r="E6" s="420">
        <v>70</v>
      </c>
      <c r="F6" s="70">
        <v>16</v>
      </c>
      <c r="G6" s="499">
        <v>0.5</v>
      </c>
      <c r="H6" s="551">
        <v>0</v>
      </c>
      <c r="I6" s="499">
        <v>0</v>
      </c>
      <c r="J6" s="551">
        <v>0</v>
      </c>
      <c r="K6" s="48">
        <v>0</v>
      </c>
      <c r="L6" s="70">
        <v>0</v>
      </c>
      <c r="M6" s="616"/>
      <c r="N6" s="617"/>
      <c r="O6" s="617"/>
      <c r="P6" s="70">
        <v>12</v>
      </c>
      <c r="Q6" s="305">
        <v>0.92</v>
      </c>
      <c r="R6" s="545">
        <v>1</v>
      </c>
      <c r="S6" s="295">
        <v>0.07</v>
      </c>
      <c r="T6" s="423">
        <v>4</v>
      </c>
      <c r="U6" s="295">
        <v>0.3</v>
      </c>
      <c r="V6" s="423">
        <v>8</v>
      </c>
      <c r="W6" s="305">
        <v>0.61</v>
      </c>
      <c r="X6" s="580">
        <v>0</v>
      </c>
      <c r="Y6" s="499">
        <v>0</v>
      </c>
      <c r="Z6" s="69"/>
    </row>
    <row r="7" spans="1:26" s="476" customFormat="1" ht="15">
      <c r="A7" s="547">
        <v>4</v>
      </c>
      <c r="B7" s="547" t="s">
        <v>3</v>
      </c>
      <c r="C7" s="545">
        <v>7</v>
      </c>
      <c r="D7" s="48">
        <v>0.41</v>
      </c>
      <c r="E7" s="70">
        <v>61</v>
      </c>
      <c r="F7" s="70">
        <v>12</v>
      </c>
      <c r="G7" s="499">
        <v>0.37</v>
      </c>
      <c r="H7" s="551">
        <v>0</v>
      </c>
      <c r="I7" s="499">
        <v>0</v>
      </c>
      <c r="J7" s="551">
        <v>7</v>
      </c>
      <c r="K7" s="295">
        <v>0.583</v>
      </c>
      <c r="L7" s="70">
        <v>0</v>
      </c>
      <c r="M7" s="548"/>
      <c r="N7" s="548"/>
      <c r="O7" s="548"/>
      <c r="P7" s="70">
        <v>5</v>
      </c>
      <c r="Q7" s="295">
        <v>0.71</v>
      </c>
      <c r="R7" s="545">
        <v>0</v>
      </c>
      <c r="S7" s="295">
        <v>0</v>
      </c>
      <c r="T7" s="423">
        <v>3</v>
      </c>
      <c r="U7" s="295">
        <v>0.42</v>
      </c>
      <c r="V7" s="423">
        <v>4</v>
      </c>
      <c r="W7" s="305">
        <v>0.57</v>
      </c>
      <c r="X7" s="580">
        <v>0</v>
      </c>
      <c r="Y7" s="499">
        <v>0</v>
      </c>
      <c r="Z7" s="69"/>
    </row>
    <row r="8" spans="1:26" s="476" customFormat="1" ht="27" customHeight="1">
      <c r="A8" s="547">
        <v>5</v>
      </c>
      <c r="B8" s="547" t="s">
        <v>4</v>
      </c>
      <c r="C8" s="545"/>
      <c r="D8" s="48"/>
      <c r="E8" s="70"/>
      <c r="F8" s="70"/>
      <c r="G8" s="499"/>
      <c r="H8" s="551"/>
      <c r="I8" s="499"/>
      <c r="J8" s="551"/>
      <c r="K8" s="48"/>
      <c r="L8" s="70"/>
      <c r="M8" s="548"/>
      <c r="N8" s="548"/>
      <c r="O8" s="548"/>
      <c r="P8" s="70"/>
      <c r="Q8" s="295"/>
      <c r="R8" s="545"/>
      <c r="S8" s="295"/>
      <c r="T8" s="423"/>
      <c r="U8" s="295"/>
      <c r="V8" s="423"/>
      <c r="W8" s="295"/>
      <c r="X8" s="545"/>
      <c r="Y8" s="499"/>
      <c r="Z8" s="69"/>
    </row>
    <row r="9" spans="1:26" s="476" customFormat="1" ht="27" customHeight="1">
      <c r="A9" s="556">
        <v>6</v>
      </c>
      <c r="B9" s="556" t="s">
        <v>5</v>
      </c>
      <c r="C9" s="104"/>
      <c r="D9" s="568"/>
      <c r="E9" s="572"/>
      <c r="F9" s="572"/>
      <c r="G9" s="570"/>
      <c r="H9" s="104"/>
      <c r="I9" s="570"/>
      <c r="J9" s="104"/>
      <c r="K9" s="568"/>
      <c r="L9" s="572"/>
      <c r="M9" s="548"/>
      <c r="N9" s="548"/>
      <c r="O9" s="548"/>
      <c r="P9" s="572"/>
      <c r="Q9" s="574"/>
      <c r="R9" s="104"/>
      <c r="S9" s="574"/>
      <c r="T9" s="579"/>
      <c r="U9" s="574"/>
      <c r="V9" s="579"/>
      <c r="W9" s="574"/>
      <c r="X9" s="104"/>
      <c r="Y9" s="570"/>
      <c r="Z9" s="69"/>
    </row>
    <row r="10" spans="1:26" s="476" customFormat="1" ht="21.75" customHeight="1">
      <c r="A10" s="561"/>
      <c r="B10" s="561" t="s">
        <v>6</v>
      </c>
      <c r="C10" s="296">
        <f>SUM(C4:C9)</f>
        <v>30</v>
      </c>
      <c r="D10" s="171">
        <v>0.42</v>
      </c>
      <c r="E10" s="283">
        <v>65.06</v>
      </c>
      <c r="F10" s="149">
        <v>13.86</v>
      </c>
      <c r="G10" s="83">
        <v>0.43</v>
      </c>
      <c r="H10" s="296">
        <f>SUM(H4:H9)</f>
        <v>0</v>
      </c>
      <c r="I10" s="83">
        <f>H10/C10</f>
        <v>0</v>
      </c>
      <c r="J10" s="296">
        <v>5</v>
      </c>
      <c r="K10" s="171">
        <v>0.55</v>
      </c>
      <c r="L10" s="552">
        <v>0.6</v>
      </c>
      <c r="M10" s="296"/>
      <c r="N10" s="296"/>
      <c r="O10" s="296"/>
      <c r="P10" s="269">
        <v>24</v>
      </c>
      <c r="Q10" s="298">
        <v>0.8</v>
      </c>
      <c r="R10" s="296">
        <f>SUM(R4:R9)</f>
        <v>2</v>
      </c>
      <c r="S10" s="298">
        <v>0.06</v>
      </c>
      <c r="T10" s="425">
        <f>SUM(T4:T9)</f>
        <v>11</v>
      </c>
      <c r="U10" s="298">
        <v>0.36</v>
      </c>
      <c r="V10" s="425">
        <f>SUM(V4:V9)</f>
        <v>17</v>
      </c>
      <c r="W10" s="298">
        <v>0.56</v>
      </c>
      <c r="X10" s="296">
        <v>0</v>
      </c>
      <c r="Y10" s="83">
        <f>X10/C10</f>
        <v>0</v>
      </c>
      <c r="Z10" s="69"/>
    </row>
    <row r="11" spans="1:26" s="554" customFormat="1" ht="21.75" customHeight="1">
      <c r="A11" s="561"/>
      <c r="B11" s="561" t="s">
        <v>22</v>
      </c>
      <c r="C11" s="296"/>
      <c r="D11" s="171"/>
      <c r="E11" s="346">
        <v>59.23</v>
      </c>
      <c r="F11" s="149"/>
      <c r="G11" s="83"/>
      <c r="H11" s="296"/>
      <c r="I11" s="83">
        <v>0.0297</v>
      </c>
      <c r="J11" s="296"/>
      <c r="K11" s="171"/>
      <c r="L11" s="552"/>
      <c r="M11" s="296"/>
      <c r="N11" s="296"/>
      <c r="O11" s="296"/>
      <c r="P11" s="269"/>
      <c r="Q11" s="298"/>
      <c r="R11" s="296"/>
      <c r="S11" s="298">
        <v>0.0929</v>
      </c>
      <c r="T11" s="425"/>
      <c r="U11" s="298"/>
      <c r="V11" s="425"/>
      <c r="W11" s="298"/>
      <c r="X11" s="296"/>
      <c r="Y11" s="83"/>
      <c r="Z11" s="69"/>
    </row>
    <row r="12" spans="1:26" s="554" customFormat="1" ht="21.75" customHeight="1">
      <c r="A12" s="561"/>
      <c r="B12" s="561" t="s">
        <v>277</v>
      </c>
      <c r="C12" s="296"/>
      <c r="D12" s="171"/>
      <c r="E12" s="346">
        <v>55.06</v>
      </c>
      <c r="F12" s="149"/>
      <c r="G12" s="83"/>
      <c r="H12" s="296"/>
      <c r="I12" s="83">
        <v>0.076</v>
      </c>
      <c r="J12" s="296"/>
      <c r="K12" s="171"/>
      <c r="L12" s="552"/>
      <c r="M12" s="296"/>
      <c r="N12" s="296"/>
      <c r="O12" s="296"/>
      <c r="P12" s="269"/>
      <c r="Q12" s="298"/>
      <c r="R12" s="296"/>
      <c r="S12" s="298">
        <v>0.0848</v>
      </c>
      <c r="T12" s="425"/>
      <c r="U12" s="298"/>
      <c r="V12" s="425"/>
      <c r="W12" s="298"/>
      <c r="X12" s="296"/>
      <c r="Y12" s="83"/>
      <c r="Z12" s="69"/>
    </row>
    <row r="13" spans="1:26" s="554" customFormat="1" ht="21.75" customHeight="1">
      <c r="A13" s="560"/>
      <c r="B13" s="560"/>
      <c r="C13" s="146"/>
      <c r="D13" s="575"/>
      <c r="E13" s="576"/>
      <c r="F13" s="562"/>
      <c r="G13" s="577"/>
      <c r="H13" s="146"/>
      <c r="I13" s="577"/>
      <c r="J13" s="146"/>
      <c r="K13" s="575"/>
      <c r="L13" s="578"/>
      <c r="M13" s="297"/>
      <c r="N13" s="297"/>
      <c r="O13" s="297"/>
      <c r="P13" s="566"/>
      <c r="Q13" s="147"/>
      <c r="R13" s="146"/>
      <c r="S13" s="147"/>
      <c r="T13" s="563"/>
      <c r="U13" s="147"/>
      <c r="V13" s="563"/>
      <c r="W13" s="147"/>
      <c r="X13" s="146"/>
      <c r="Y13" s="577"/>
      <c r="Z13" s="69"/>
    </row>
    <row r="14" spans="1:19" s="476" customFormat="1" ht="17.25" customHeight="1">
      <c r="A14" s="588" t="s">
        <v>238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P14" s="483"/>
      <c r="Q14" s="483"/>
      <c r="R14" s="483"/>
      <c r="S14" s="483"/>
    </row>
    <row r="15" spans="1:25" s="476" customFormat="1" ht="15">
      <c r="A15" s="477"/>
      <c r="B15" s="477"/>
      <c r="C15" s="590" t="s">
        <v>7</v>
      </c>
      <c r="D15" s="590"/>
      <c r="E15" s="621" t="s">
        <v>47</v>
      </c>
      <c r="F15" s="622" t="s">
        <v>20</v>
      </c>
      <c r="G15" s="622" t="s">
        <v>48</v>
      </c>
      <c r="H15" s="590" t="s">
        <v>9</v>
      </c>
      <c r="I15" s="590"/>
      <c r="J15" s="590" t="s">
        <v>13</v>
      </c>
      <c r="K15" s="590"/>
      <c r="L15" s="590"/>
      <c r="P15" s="587" t="s">
        <v>246</v>
      </c>
      <c r="Q15" s="587"/>
      <c r="R15" s="587" t="s">
        <v>211</v>
      </c>
      <c r="S15" s="587"/>
      <c r="T15" s="618" t="s">
        <v>218</v>
      </c>
      <c r="U15" s="618"/>
      <c r="V15" s="619" t="s">
        <v>219</v>
      </c>
      <c r="W15" s="619"/>
      <c r="X15" s="620" t="s">
        <v>223</v>
      </c>
      <c r="Y15" s="620"/>
    </row>
    <row r="16" spans="1:25" s="352" customFormat="1" ht="195">
      <c r="A16" s="477"/>
      <c r="B16" s="477"/>
      <c r="C16" s="477" t="s">
        <v>8</v>
      </c>
      <c r="D16" s="477" t="s">
        <v>11</v>
      </c>
      <c r="E16" s="621"/>
      <c r="F16" s="623"/>
      <c r="G16" s="623"/>
      <c r="H16" s="477" t="s">
        <v>8</v>
      </c>
      <c r="I16" s="477" t="s">
        <v>10</v>
      </c>
      <c r="J16" s="477" t="s">
        <v>14</v>
      </c>
      <c r="K16" s="477" t="s">
        <v>12</v>
      </c>
      <c r="L16" s="53" t="s">
        <v>15</v>
      </c>
      <c r="M16" s="476"/>
      <c r="N16" s="476"/>
      <c r="O16" s="476"/>
      <c r="P16" s="474" t="s">
        <v>8</v>
      </c>
      <c r="Q16" s="474" t="s">
        <v>10</v>
      </c>
      <c r="R16" s="474" t="s">
        <v>8</v>
      </c>
      <c r="S16" s="474" t="s">
        <v>10</v>
      </c>
      <c r="T16" s="423" t="s">
        <v>8</v>
      </c>
      <c r="U16" s="423" t="s">
        <v>10</v>
      </c>
      <c r="V16" s="423" t="s">
        <v>8</v>
      </c>
      <c r="W16" s="423" t="s">
        <v>10</v>
      </c>
      <c r="X16" s="474" t="s">
        <v>8</v>
      </c>
      <c r="Y16" s="474" t="s">
        <v>10</v>
      </c>
    </row>
    <row r="17" spans="1:252" ht="60" customHeight="1">
      <c r="A17" s="477">
        <v>1</v>
      </c>
      <c r="B17" s="477" t="s">
        <v>0</v>
      </c>
      <c r="C17" s="474">
        <v>18</v>
      </c>
      <c r="D17" s="48">
        <f>C17/27</f>
        <v>0.6666666666666666</v>
      </c>
      <c r="E17" s="70">
        <v>66</v>
      </c>
      <c r="F17" s="70">
        <v>14</v>
      </c>
      <c r="G17" s="65">
        <f aca="true" t="shared" si="0" ref="G17:G22">F17/32</f>
        <v>0.4375</v>
      </c>
      <c r="H17" s="474">
        <v>0</v>
      </c>
      <c r="I17" s="65">
        <f aca="true" t="shared" si="1" ref="I17:I23">H17/C17</f>
        <v>0</v>
      </c>
      <c r="J17" s="474">
        <v>18</v>
      </c>
      <c r="K17" s="48">
        <f>J17/19</f>
        <v>0.9473684210526315</v>
      </c>
      <c r="L17" s="70">
        <v>66</v>
      </c>
      <c r="M17" s="483"/>
      <c r="N17" s="483"/>
      <c r="O17" s="483"/>
      <c r="P17" s="474"/>
      <c r="Q17" s="306">
        <f aca="true" t="shared" si="2" ref="Q17:Q23">P17/C17</f>
        <v>0</v>
      </c>
      <c r="R17" s="474">
        <v>2</v>
      </c>
      <c r="S17" s="295">
        <f aca="true" t="shared" si="3" ref="S17:S23">R17/C17</f>
        <v>0.1111111111111111</v>
      </c>
      <c r="T17" s="423">
        <v>5</v>
      </c>
      <c r="U17" s="295">
        <f>T17/C17</f>
        <v>0.2777777777777778</v>
      </c>
      <c r="V17" s="423">
        <v>11</v>
      </c>
      <c r="W17" s="295">
        <f>V17/C17</f>
        <v>0.6111111111111112</v>
      </c>
      <c r="X17" s="474"/>
      <c r="Y17" s="65">
        <f aca="true" t="shared" si="4" ref="Y17:Y23">X17/C17</f>
        <v>0</v>
      </c>
      <c r="Z17" s="144"/>
      <c r="AA17" s="141"/>
      <c r="AB17" s="141"/>
      <c r="AC17" s="145"/>
      <c r="AD17" s="141"/>
      <c r="AE17" s="141"/>
      <c r="AF17" s="141"/>
      <c r="AG17" s="146"/>
      <c r="AH17" s="147"/>
      <c r="AI17" s="146"/>
      <c r="AJ17" s="148"/>
      <c r="AK17" s="139"/>
      <c r="AL17" s="140"/>
      <c r="AM17" s="141"/>
      <c r="AN17" s="141"/>
      <c r="AO17" s="141"/>
      <c r="AP17" s="142"/>
      <c r="AQ17" s="143"/>
      <c r="AR17" s="143"/>
      <c r="AS17" s="134"/>
      <c r="AT17" s="141"/>
      <c r="AU17" s="144"/>
      <c r="AV17" s="141"/>
      <c r="AW17" s="141"/>
      <c r="AX17" s="145"/>
      <c r="AY17" s="141"/>
      <c r="AZ17" s="141"/>
      <c r="BA17" s="141"/>
      <c r="BB17" s="146"/>
      <c r="BC17" s="147"/>
      <c r="BD17" s="146"/>
      <c r="BE17" s="148"/>
      <c r="BF17" s="139"/>
      <c r="BG17" s="140"/>
      <c r="BH17" s="141"/>
      <c r="BI17" s="141"/>
      <c r="BJ17" s="141"/>
      <c r="BK17" s="142"/>
      <c r="BL17" s="143"/>
      <c r="BM17" s="143"/>
      <c r="BN17" s="134"/>
      <c r="BO17" s="141"/>
      <c r="BP17" s="144"/>
      <c r="BQ17" s="141"/>
      <c r="BR17" s="141"/>
      <c r="BS17" s="201"/>
      <c r="BT17" s="135"/>
      <c r="BU17" s="135"/>
      <c r="BV17" s="135"/>
      <c r="BW17" s="50"/>
      <c r="BX17" s="66"/>
      <c r="BY17" s="50"/>
      <c r="BZ17" s="49"/>
      <c r="CA17" s="29"/>
      <c r="CB17" s="117"/>
      <c r="CC17" s="6"/>
      <c r="CD17" s="6"/>
      <c r="CE17" s="6"/>
      <c r="CF17" s="10"/>
      <c r="CG17" s="67"/>
      <c r="CH17" s="67"/>
      <c r="CI17" s="13"/>
      <c r="CJ17" s="6"/>
      <c r="CK17" s="136"/>
      <c r="CL17" s="6"/>
      <c r="CM17" s="6"/>
      <c r="CN17" s="54"/>
      <c r="CO17" s="135"/>
      <c r="CP17" s="135"/>
      <c r="CQ17" s="135"/>
      <c r="CR17" s="50"/>
      <c r="CS17" s="66"/>
      <c r="CT17" s="50"/>
      <c r="CU17" s="49"/>
      <c r="CV17" s="29"/>
      <c r="CW17" s="117"/>
      <c r="CX17" s="6"/>
      <c r="CY17" s="6"/>
      <c r="CZ17" s="6"/>
      <c r="DA17" s="10"/>
      <c r="DB17" s="67"/>
      <c r="DC17" s="67"/>
      <c r="DD17" s="13"/>
      <c r="DE17" s="6"/>
      <c r="DF17" s="136"/>
      <c r="DG17" s="6"/>
      <c r="DH17" s="6"/>
      <c r="DI17" s="54"/>
      <c r="DJ17" s="135"/>
      <c r="DK17" s="135"/>
      <c r="DL17" s="135"/>
      <c r="DM17" s="50"/>
      <c r="DN17" s="66"/>
      <c r="DO17" s="50"/>
      <c r="DP17" s="49"/>
      <c r="DQ17" s="29"/>
      <c r="DR17" s="117"/>
      <c r="DS17" s="6"/>
      <c r="DT17" s="6"/>
      <c r="DU17" s="6"/>
      <c r="DV17" s="10"/>
      <c r="DW17" s="67"/>
      <c r="DX17" s="67"/>
      <c r="DY17" s="13"/>
      <c r="DZ17" s="6"/>
      <c r="EA17" s="136"/>
      <c r="EB17" s="6"/>
      <c r="EC17" s="6"/>
      <c r="ED17" s="54"/>
      <c r="EE17" s="135"/>
      <c r="EF17" s="135"/>
      <c r="EG17" s="135"/>
      <c r="EH17" s="50"/>
      <c r="EI17" s="66"/>
      <c r="EJ17" s="50"/>
      <c r="EK17" s="49"/>
      <c r="EL17" s="29"/>
      <c r="EM17" s="117"/>
      <c r="EN17" s="6"/>
      <c r="EO17" s="6"/>
      <c r="EP17" s="6"/>
      <c r="EQ17" s="10"/>
      <c r="ER17" s="67"/>
      <c r="ES17" s="67"/>
      <c r="ET17" s="13"/>
      <c r="EU17" s="6"/>
      <c r="EV17" s="136"/>
      <c r="EW17" s="6"/>
      <c r="EX17" s="6"/>
      <c r="EY17" s="54"/>
      <c r="EZ17" s="135"/>
      <c r="FA17" s="135"/>
      <c r="FB17" s="135"/>
      <c r="FC17" s="50"/>
      <c r="FD17" s="66"/>
      <c r="FE17" s="50"/>
      <c r="FF17" s="49"/>
      <c r="FG17" s="29"/>
      <c r="FH17" s="117"/>
      <c r="FI17" s="6"/>
      <c r="FJ17" s="6"/>
      <c r="FK17" s="6"/>
      <c r="FL17" s="10"/>
      <c r="FM17" s="67"/>
      <c r="FN17" s="67"/>
      <c r="FO17" s="13"/>
      <c r="FP17" s="6"/>
      <c r="FQ17" s="136"/>
      <c r="FR17" s="6"/>
      <c r="FS17" s="6"/>
      <c r="FT17" s="54"/>
      <c r="FU17" s="135"/>
      <c r="FV17" s="135"/>
      <c r="FW17" s="135"/>
      <c r="FX17" s="50"/>
      <c r="FY17" s="66"/>
      <c r="FZ17" s="50"/>
      <c r="GA17" s="49"/>
      <c r="GB17" s="29"/>
      <c r="GC17" s="117"/>
      <c r="GD17" s="6"/>
      <c r="GE17" s="6"/>
      <c r="GF17" s="6"/>
      <c r="GG17" s="10"/>
      <c r="GH17" s="67"/>
      <c r="GI17" s="67"/>
      <c r="GJ17" s="13"/>
      <c r="GK17" s="6"/>
      <c r="GL17" s="136"/>
      <c r="GM17" s="6"/>
      <c r="GN17" s="6"/>
      <c r="GO17" s="54"/>
      <c r="GP17" s="135"/>
      <c r="GQ17" s="135"/>
      <c r="GR17" s="135"/>
      <c r="GS17" s="50"/>
      <c r="GT17" s="66"/>
      <c r="GU17" s="50"/>
      <c r="GV17" s="49"/>
      <c r="GW17" s="29"/>
      <c r="GX17" s="117"/>
      <c r="GY17" s="6"/>
      <c r="GZ17" s="6"/>
      <c r="HA17" s="6"/>
      <c r="HB17" s="10"/>
      <c r="HC17" s="67"/>
      <c r="HD17" s="67"/>
      <c r="HE17" s="13"/>
      <c r="HF17" s="6"/>
      <c r="HG17" s="136"/>
      <c r="HH17" s="6"/>
      <c r="HI17" s="6"/>
      <c r="HJ17" s="54"/>
      <c r="HK17" s="135"/>
      <c r="HL17" s="135"/>
      <c r="HM17" s="135"/>
      <c r="HN17" s="50"/>
      <c r="HO17" s="66"/>
      <c r="HP17" s="50"/>
      <c r="HQ17" s="49"/>
      <c r="HR17" s="29"/>
      <c r="HS17" s="117"/>
      <c r="HT17" s="6"/>
      <c r="HU17" s="6"/>
      <c r="HV17" s="6"/>
      <c r="HW17" s="10"/>
      <c r="HX17" s="67"/>
      <c r="HY17" s="67"/>
      <c r="HZ17" s="13"/>
      <c r="IA17" s="6"/>
      <c r="IB17" s="136"/>
      <c r="IC17" s="6"/>
      <c r="ID17" s="6"/>
      <c r="IE17" s="54"/>
      <c r="IF17" s="135"/>
      <c r="IG17" s="135"/>
      <c r="IH17" s="135"/>
      <c r="II17" s="50"/>
      <c r="IJ17" s="66"/>
      <c r="IK17" s="50"/>
      <c r="IL17" s="49"/>
      <c r="IM17" s="29"/>
      <c r="IN17" s="117"/>
      <c r="IO17" s="6"/>
      <c r="IP17" s="6"/>
      <c r="IQ17" s="6"/>
      <c r="IR17" s="10"/>
    </row>
    <row r="18" spans="1:70" ht="182.25" customHeight="1">
      <c r="A18" s="477">
        <v>2</v>
      </c>
      <c r="B18" s="477" t="s">
        <v>1</v>
      </c>
      <c r="C18" s="474">
        <v>7</v>
      </c>
      <c r="D18" s="48">
        <f>C18/22</f>
        <v>0.3181818181818182</v>
      </c>
      <c r="E18" s="70">
        <v>58</v>
      </c>
      <c r="F18" s="70">
        <v>12</v>
      </c>
      <c r="G18" s="65">
        <f t="shared" si="0"/>
        <v>0.375</v>
      </c>
      <c r="H18" s="105">
        <v>1</v>
      </c>
      <c r="I18" s="314">
        <f>H18/C18</f>
        <v>0.14285714285714285</v>
      </c>
      <c r="J18" s="474">
        <v>2</v>
      </c>
      <c r="K18" s="48">
        <f>J18/2</f>
        <v>1</v>
      </c>
      <c r="L18" s="70">
        <v>74</v>
      </c>
      <c r="M18" s="483"/>
      <c r="N18" s="483"/>
      <c r="O18" s="483"/>
      <c r="P18" s="474"/>
      <c r="Q18" s="295">
        <f t="shared" si="2"/>
        <v>0</v>
      </c>
      <c r="R18" s="474">
        <v>0</v>
      </c>
      <c r="S18" s="295">
        <f t="shared" si="3"/>
        <v>0</v>
      </c>
      <c r="T18" s="423">
        <v>2</v>
      </c>
      <c r="U18" s="295">
        <f aca="true" t="shared" si="5" ref="U18:U23">T18/C18</f>
        <v>0.2857142857142857</v>
      </c>
      <c r="V18" s="423">
        <v>4</v>
      </c>
      <c r="W18" s="295">
        <f aca="true" t="shared" si="6" ref="W18:W23">V18/C18</f>
        <v>0.5714285714285714</v>
      </c>
      <c r="X18" s="474"/>
      <c r="Y18" s="65">
        <f t="shared" si="4"/>
        <v>0</v>
      </c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</row>
    <row r="19" spans="1:26" ht="24" customHeight="1">
      <c r="A19" s="477">
        <v>3</v>
      </c>
      <c r="B19" s="477" t="s">
        <v>2</v>
      </c>
      <c r="C19" s="474">
        <v>19</v>
      </c>
      <c r="D19" s="48">
        <f>C19/29</f>
        <v>0.6551724137931034</v>
      </c>
      <c r="E19" s="70">
        <v>60</v>
      </c>
      <c r="F19" s="70">
        <v>12</v>
      </c>
      <c r="G19" s="65">
        <f>F19/32</f>
        <v>0.375</v>
      </c>
      <c r="H19" s="474">
        <v>0</v>
      </c>
      <c r="I19" s="65">
        <f t="shared" si="1"/>
        <v>0</v>
      </c>
      <c r="J19" s="474">
        <v>19</v>
      </c>
      <c r="K19" s="48">
        <f>J19/19</f>
        <v>1</v>
      </c>
      <c r="L19" s="70">
        <v>60</v>
      </c>
      <c r="M19" s="616"/>
      <c r="N19" s="617"/>
      <c r="O19" s="617"/>
      <c r="P19" s="474"/>
      <c r="Q19" s="295">
        <f t="shared" si="2"/>
        <v>0</v>
      </c>
      <c r="R19" s="474">
        <v>1</v>
      </c>
      <c r="S19" s="295">
        <f t="shared" si="3"/>
        <v>0.05263157894736842</v>
      </c>
      <c r="T19" s="423">
        <v>8</v>
      </c>
      <c r="U19" s="295">
        <f t="shared" si="5"/>
        <v>0.42105263157894735</v>
      </c>
      <c r="V19" s="423">
        <v>10</v>
      </c>
      <c r="W19" s="295">
        <f t="shared" si="6"/>
        <v>0.5263157894736842</v>
      </c>
      <c r="X19" s="474"/>
      <c r="Y19" s="65">
        <f t="shared" si="4"/>
        <v>0</v>
      </c>
      <c r="Z19" s="64"/>
    </row>
    <row r="20" spans="1:26" ht="15" customHeight="1">
      <c r="A20" s="477">
        <v>4</v>
      </c>
      <c r="B20" s="477" t="s">
        <v>3</v>
      </c>
      <c r="C20" s="474">
        <v>11</v>
      </c>
      <c r="D20" s="48">
        <f>C20/27</f>
        <v>0.4074074074074074</v>
      </c>
      <c r="E20" s="70">
        <v>55</v>
      </c>
      <c r="F20" s="70">
        <v>11</v>
      </c>
      <c r="G20" s="65">
        <f t="shared" si="0"/>
        <v>0.34375</v>
      </c>
      <c r="H20" s="474">
        <v>0</v>
      </c>
      <c r="I20" s="65">
        <f t="shared" si="1"/>
        <v>0</v>
      </c>
      <c r="J20" s="474">
        <v>11</v>
      </c>
      <c r="K20" s="48">
        <f>J20/J20</f>
        <v>1</v>
      </c>
      <c r="L20" s="70">
        <v>55</v>
      </c>
      <c r="M20" s="483"/>
      <c r="N20" s="483"/>
      <c r="O20" s="483"/>
      <c r="P20" s="474"/>
      <c r="Q20" s="63">
        <f t="shared" si="2"/>
        <v>0</v>
      </c>
      <c r="R20" s="474">
        <v>0</v>
      </c>
      <c r="S20" s="295">
        <f t="shared" si="3"/>
        <v>0</v>
      </c>
      <c r="T20" s="423">
        <v>8</v>
      </c>
      <c r="U20" s="295">
        <f t="shared" si="5"/>
        <v>0.7272727272727273</v>
      </c>
      <c r="V20" s="423">
        <v>3</v>
      </c>
      <c r="W20" s="295">
        <f t="shared" si="6"/>
        <v>0.2727272727272727</v>
      </c>
      <c r="X20" s="474"/>
      <c r="Y20" s="65">
        <f t="shared" si="4"/>
        <v>0</v>
      </c>
      <c r="Z20" s="64"/>
    </row>
    <row r="21" spans="1:26" ht="45">
      <c r="A21" s="477">
        <v>5</v>
      </c>
      <c r="B21" s="477" t="s">
        <v>4</v>
      </c>
      <c r="C21" s="474">
        <v>0</v>
      </c>
      <c r="D21" s="48" t="e">
        <f>C21/0</f>
        <v>#DIV/0!</v>
      </c>
      <c r="E21" s="70" t="e">
        <f>(62+45)/C21</f>
        <v>#DIV/0!</v>
      </c>
      <c r="F21" s="70" t="e">
        <f>0/C21</f>
        <v>#DIV/0!</v>
      </c>
      <c r="G21" s="65" t="e">
        <f t="shared" si="0"/>
        <v>#DIV/0!</v>
      </c>
      <c r="H21" s="474">
        <v>0</v>
      </c>
      <c r="I21" s="65" t="e">
        <f t="shared" si="1"/>
        <v>#DIV/0!</v>
      </c>
      <c r="J21" s="474">
        <v>0</v>
      </c>
      <c r="K21" s="48" t="e">
        <f>J21/J21</f>
        <v>#DIV/0!</v>
      </c>
      <c r="L21" s="70">
        <v>0</v>
      </c>
      <c r="M21" s="483"/>
      <c r="N21" s="483"/>
      <c r="O21" s="483"/>
      <c r="P21" s="474"/>
      <c r="Q21" s="63" t="e">
        <f t="shared" si="2"/>
        <v>#DIV/0!</v>
      </c>
      <c r="R21" s="474">
        <v>0</v>
      </c>
      <c r="S21" s="295" t="e">
        <f t="shared" si="3"/>
        <v>#DIV/0!</v>
      </c>
      <c r="T21" s="423"/>
      <c r="U21" s="295" t="e">
        <f t="shared" si="5"/>
        <v>#DIV/0!</v>
      </c>
      <c r="V21" s="423"/>
      <c r="W21" s="295" t="e">
        <f t="shared" si="6"/>
        <v>#DIV/0!</v>
      </c>
      <c r="X21" s="474"/>
      <c r="Y21" s="65" t="e">
        <f t="shared" si="4"/>
        <v>#DIV/0!</v>
      </c>
      <c r="Z21" s="64"/>
    </row>
    <row r="22" spans="1:26" ht="45">
      <c r="A22" s="477">
        <v>6</v>
      </c>
      <c r="B22" s="477" t="s">
        <v>5</v>
      </c>
      <c r="C22" s="474">
        <v>1</v>
      </c>
      <c r="D22" s="48">
        <f>C22/3</f>
        <v>0.3333333333333333</v>
      </c>
      <c r="E22" s="70">
        <v>56</v>
      </c>
      <c r="F22" s="70">
        <v>11</v>
      </c>
      <c r="G22" s="65">
        <f t="shared" si="0"/>
        <v>0.34375</v>
      </c>
      <c r="H22" s="474">
        <v>0</v>
      </c>
      <c r="I22" s="65">
        <f t="shared" si="1"/>
        <v>0</v>
      </c>
      <c r="J22" s="474">
        <v>0</v>
      </c>
      <c r="K22" s="48" t="e">
        <f>J22/J22</f>
        <v>#DIV/0!</v>
      </c>
      <c r="L22" s="70"/>
      <c r="M22" s="483"/>
      <c r="N22" s="483"/>
      <c r="O22" s="483"/>
      <c r="P22" s="474"/>
      <c r="Q22" s="63">
        <f t="shared" si="2"/>
        <v>0</v>
      </c>
      <c r="R22" s="474">
        <v>0</v>
      </c>
      <c r="S22" s="295">
        <f t="shared" si="3"/>
        <v>0</v>
      </c>
      <c r="T22" s="423">
        <v>1</v>
      </c>
      <c r="U22" s="295">
        <f t="shared" si="5"/>
        <v>1</v>
      </c>
      <c r="V22" s="423"/>
      <c r="W22" s="295">
        <f t="shared" si="6"/>
        <v>0</v>
      </c>
      <c r="X22" s="474"/>
      <c r="Y22" s="65">
        <f t="shared" si="4"/>
        <v>0</v>
      </c>
      <c r="Z22" s="64"/>
    </row>
    <row r="23" spans="1:26" ht="15.75" customHeight="1">
      <c r="A23" s="485"/>
      <c r="B23" s="485" t="s">
        <v>6</v>
      </c>
      <c r="C23" s="296">
        <f>SUM(C17:C22)</f>
        <v>56</v>
      </c>
      <c r="D23" s="171">
        <f>C23/108</f>
        <v>0.5185185185185185</v>
      </c>
      <c r="E23" s="283">
        <v>60.75</v>
      </c>
      <c r="F23" s="149">
        <v>12.4</v>
      </c>
      <c r="G23" s="83">
        <f>F23/32</f>
        <v>0.3875</v>
      </c>
      <c r="H23" s="296">
        <f>SUM(H17:H22)</f>
        <v>1</v>
      </c>
      <c r="I23" s="65">
        <f t="shared" si="1"/>
        <v>0.017857142857142856</v>
      </c>
      <c r="J23" s="296"/>
      <c r="K23" s="48"/>
      <c r="L23" s="269"/>
      <c r="M23" s="297"/>
      <c r="N23" s="297"/>
      <c r="O23" s="297"/>
      <c r="P23" s="296">
        <f>SUM(P17:P22)</f>
        <v>0</v>
      </c>
      <c r="Q23" s="298">
        <f t="shared" si="2"/>
        <v>0</v>
      </c>
      <c r="R23" s="296">
        <f>SUM(R17:R22)</f>
        <v>3</v>
      </c>
      <c r="S23" s="295">
        <f t="shared" si="3"/>
        <v>0.05357142857142857</v>
      </c>
      <c r="T23" s="425">
        <f>SUM(T17:T22)</f>
        <v>24</v>
      </c>
      <c r="U23" s="295">
        <f t="shared" si="5"/>
        <v>0.42857142857142855</v>
      </c>
      <c r="V23" s="423">
        <f>SUM(V17:V22)</f>
        <v>28</v>
      </c>
      <c r="W23" s="295">
        <f t="shared" si="6"/>
        <v>0.5</v>
      </c>
      <c r="X23" s="474"/>
      <c r="Y23" s="65">
        <f t="shared" si="4"/>
        <v>0</v>
      </c>
      <c r="Z23" s="64"/>
    </row>
    <row r="24" spans="1:26" ht="27" customHeight="1">
      <c r="A24" s="485"/>
      <c r="B24" s="485" t="s">
        <v>22</v>
      </c>
      <c r="C24" s="296"/>
      <c r="D24" s="296"/>
      <c r="E24" s="346">
        <v>59.48</v>
      </c>
      <c r="F24" s="149"/>
      <c r="G24" s="83"/>
      <c r="H24" s="296"/>
      <c r="I24" s="296"/>
      <c r="J24" s="296"/>
      <c r="K24" s="296"/>
      <c r="L24" s="269"/>
      <c r="M24" s="297"/>
      <c r="N24" s="297"/>
      <c r="O24" s="297"/>
      <c r="P24" s="296"/>
      <c r="Q24" s="171"/>
      <c r="R24" s="296"/>
      <c r="S24" s="296"/>
      <c r="T24" s="425"/>
      <c r="U24" s="425"/>
      <c r="V24" s="484"/>
      <c r="W24" s="484"/>
      <c r="X24" s="476"/>
      <c r="Y24" s="476"/>
      <c r="Z24" s="64"/>
    </row>
    <row r="25" spans="1:26" ht="21.75" customHeight="1">
      <c r="A25" s="476"/>
      <c r="B25" s="476"/>
      <c r="C25" s="476"/>
      <c r="D25" s="476"/>
      <c r="H25" s="476"/>
      <c r="I25" s="476"/>
      <c r="J25" s="476"/>
      <c r="K25" s="476"/>
      <c r="M25" s="476"/>
      <c r="N25" s="476"/>
      <c r="O25" s="476"/>
      <c r="P25" s="483"/>
      <c r="Q25" s="483"/>
      <c r="R25" s="483"/>
      <c r="S25" s="483"/>
      <c r="T25" s="476"/>
      <c r="U25" s="476"/>
      <c r="V25" s="476"/>
      <c r="W25" s="476"/>
      <c r="X25" s="476"/>
      <c r="Y25" s="476"/>
      <c r="Z25" s="64"/>
    </row>
    <row r="26" spans="1:25" ht="17.25" customHeight="1">
      <c r="A26" s="588" t="s">
        <v>197</v>
      </c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352"/>
      <c r="O26" s="352"/>
      <c r="P26" s="358"/>
      <c r="Q26" s="358"/>
      <c r="R26" s="358"/>
      <c r="S26" s="358"/>
      <c r="T26" s="352"/>
      <c r="U26" s="352"/>
      <c r="V26" s="352"/>
      <c r="W26" s="352"/>
      <c r="X26" s="352"/>
      <c r="Y26" s="352"/>
    </row>
    <row r="27" spans="1:25" s="4" customFormat="1" ht="15">
      <c r="A27" s="353"/>
      <c r="B27" s="353"/>
      <c r="C27" s="590" t="s">
        <v>7</v>
      </c>
      <c r="D27" s="590"/>
      <c r="E27" s="621" t="s">
        <v>47</v>
      </c>
      <c r="F27" s="622" t="s">
        <v>20</v>
      </c>
      <c r="G27" s="622" t="s">
        <v>48</v>
      </c>
      <c r="H27" s="590" t="s">
        <v>9</v>
      </c>
      <c r="I27" s="590"/>
      <c r="J27" s="590" t="s">
        <v>13</v>
      </c>
      <c r="K27" s="590"/>
      <c r="L27" s="590"/>
      <c r="M27" s="352"/>
      <c r="N27" s="352"/>
      <c r="O27" s="352"/>
      <c r="P27" s="587" t="s">
        <v>205</v>
      </c>
      <c r="Q27" s="587"/>
      <c r="R27" s="587" t="s">
        <v>211</v>
      </c>
      <c r="S27" s="587"/>
      <c r="T27" s="618" t="s">
        <v>218</v>
      </c>
      <c r="U27" s="618"/>
      <c r="V27" s="619" t="s">
        <v>219</v>
      </c>
      <c r="W27" s="619"/>
      <c r="X27" s="620" t="s">
        <v>223</v>
      </c>
      <c r="Y27" s="620"/>
    </row>
    <row r="28" spans="1:25" s="135" customFormat="1" ht="195">
      <c r="A28" s="353"/>
      <c r="B28" s="353"/>
      <c r="C28" s="353" t="s">
        <v>8</v>
      </c>
      <c r="D28" s="353" t="s">
        <v>11</v>
      </c>
      <c r="E28" s="621"/>
      <c r="F28" s="623"/>
      <c r="G28" s="623"/>
      <c r="H28" s="353" t="s">
        <v>8</v>
      </c>
      <c r="I28" s="353" t="s">
        <v>10</v>
      </c>
      <c r="J28" s="353" t="s">
        <v>14</v>
      </c>
      <c r="K28" s="353" t="s">
        <v>12</v>
      </c>
      <c r="L28" s="53" t="s">
        <v>15</v>
      </c>
      <c r="M28" s="352"/>
      <c r="N28" s="352"/>
      <c r="O28" s="352"/>
      <c r="P28" s="351" t="s">
        <v>8</v>
      </c>
      <c r="Q28" s="351" t="s">
        <v>10</v>
      </c>
      <c r="R28" s="351" t="s">
        <v>8</v>
      </c>
      <c r="S28" s="351" t="s">
        <v>10</v>
      </c>
      <c r="T28" s="423" t="s">
        <v>8</v>
      </c>
      <c r="U28" s="423" t="s">
        <v>10</v>
      </c>
      <c r="V28" s="423" t="s">
        <v>8</v>
      </c>
      <c r="W28" s="423" t="s">
        <v>10</v>
      </c>
      <c r="X28" s="426" t="s">
        <v>8</v>
      </c>
      <c r="Y28" s="426" t="s">
        <v>10</v>
      </c>
    </row>
    <row r="29" spans="1:25" s="135" customFormat="1" ht="15">
      <c r="A29" s="353">
        <v>1</v>
      </c>
      <c r="B29" s="353" t="s">
        <v>0</v>
      </c>
      <c r="C29" s="351">
        <v>19</v>
      </c>
      <c r="D29" s="48">
        <f>C29/22</f>
        <v>0.8636363636363636</v>
      </c>
      <c r="E29" s="94">
        <f>1275/C29</f>
        <v>67.10526315789474</v>
      </c>
      <c r="F29" s="68">
        <f>279/C29</f>
        <v>14.68421052631579</v>
      </c>
      <c r="G29" s="65">
        <f aca="true" t="shared" si="7" ref="G29:G34">F29/32</f>
        <v>0.4588815789473684</v>
      </c>
      <c r="H29" s="351">
        <v>0</v>
      </c>
      <c r="I29" s="65">
        <f aca="true" t="shared" si="8" ref="I29:I35">H29/C29</f>
        <v>0</v>
      </c>
      <c r="J29" s="351">
        <v>19</v>
      </c>
      <c r="K29" s="316">
        <f>J29/22</f>
        <v>0.8636363636363636</v>
      </c>
      <c r="L29" s="420">
        <f>1275/J29</f>
        <v>67.10526315789474</v>
      </c>
      <c r="M29" s="358"/>
      <c r="N29" s="358"/>
      <c r="O29" s="358"/>
      <c r="P29" s="410">
        <v>14</v>
      </c>
      <c r="Q29" s="418">
        <f aca="true" t="shared" si="9" ref="Q29:Q35">P29/C29</f>
        <v>0.7368421052631579</v>
      </c>
      <c r="R29" s="351">
        <v>4</v>
      </c>
      <c r="S29" s="305">
        <f>R29/C29</f>
        <v>0.21052631578947367</v>
      </c>
      <c r="T29" s="423">
        <v>5</v>
      </c>
      <c r="U29" s="295">
        <f>T29/C29</f>
        <v>0.2631578947368421</v>
      </c>
      <c r="V29" s="424">
        <v>10</v>
      </c>
      <c r="W29" s="8">
        <f>V29/C29</f>
        <v>0.5263157894736842</v>
      </c>
      <c r="X29" s="427">
        <v>16</v>
      </c>
      <c r="Y29" s="416">
        <f aca="true" t="shared" si="10" ref="Y29:Y35">X29/C29</f>
        <v>0.8421052631578947</v>
      </c>
    </row>
    <row r="30" spans="1:25" ht="138.75" customHeight="1">
      <c r="A30" s="353">
        <v>2</v>
      </c>
      <c r="B30" s="353" t="s">
        <v>1</v>
      </c>
      <c r="C30" s="351">
        <v>5</v>
      </c>
      <c r="D30" s="48">
        <f>C30/21</f>
        <v>0.23809523809523808</v>
      </c>
      <c r="E30" s="94">
        <f>251/C30</f>
        <v>50.2</v>
      </c>
      <c r="F30" s="68">
        <f>53/C30</f>
        <v>10.6</v>
      </c>
      <c r="G30" s="65">
        <f t="shared" si="7"/>
        <v>0.33125</v>
      </c>
      <c r="H30" s="351">
        <v>0</v>
      </c>
      <c r="I30" s="65">
        <f t="shared" si="8"/>
        <v>0</v>
      </c>
      <c r="J30" s="369">
        <v>0</v>
      </c>
      <c r="K30" s="48">
        <f>J30/6</f>
        <v>0</v>
      </c>
      <c r="L30" s="70">
        <v>0</v>
      </c>
      <c r="M30" s="358"/>
      <c r="N30" s="358"/>
      <c r="O30" s="358"/>
      <c r="P30" s="410">
        <v>2</v>
      </c>
      <c r="Q30" s="295">
        <f t="shared" si="9"/>
        <v>0.4</v>
      </c>
      <c r="R30" s="351">
        <v>0</v>
      </c>
      <c r="S30" s="295">
        <f aca="true" t="shared" si="11" ref="S30:S35">R30/C30</f>
        <v>0</v>
      </c>
      <c r="T30" s="423">
        <v>3</v>
      </c>
      <c r="U30" s="295">
        <f aca="true" t="shared" si="12" ref="U30:U35">T30/C30</f>
        <v>0.6</v>
      </c>
      <c r="V30" s="424">
        <v>2</v>
      </c>
      <c r="W30" s="8">
        <f aca="true" t="shared" si="13" ref="W30:W35">V30/C30</f>
        <v>0.4</v>
      </c>
      <c r="X30" s="427">
        <v>1</v>
      </c>
      <c r="Y30" s="428">
        <f t="shared" si="10"/>
        <v>0.2</v>
      </c>
    </row>
    <row r="31" spans="1:25" s="158" customFormat="1" ht="15">
      <c r="A31" s="353">
        <v>3</v>
      </c>
      <c r="B31" s="353" t="s">
        <v>2</v>
      </c>
      <c r="C31" s="351">
        <v>11</v>
      </c>
      <c r="D31" s="48">
        <f>C31/27</f>
        <v>0.4074074074074074</v>
      </c>
      <c r="E31" s="94">
        <f>748/C31</f>
        <v>68</v>
      </c>
      <c r="F31" s="68">
        <f>149/C31</f>
        <v>13.545454545454545</v>
      </c>
      <c r="G31" s="65">
        <f t="shared" si="7"/>
        <v>0.42329545454545453</v>
      </c>
      <c r="H31" s="351">
        <v>0</v>
      </c>
      <c r="I31" s="65">
        <f t="shared" si="8"/>
        <v>0</v>
      </c>
      <c r="J31" s="351">
        <v>11</v>
      </c>
      <c r="K31" s="316">
        <f>J31/11</f>
        <v>1</v>
      </c>
      <c r="L31" s="420">
        <v>68</v>
      </c>
      <c r="M31" s="616"/>
      <c r="N31" s="617"/>
      <c r="O31" s="617"/>
      <c r="P31" s="410">
        <v>9</v>
      </c>
      <c r="Q31" s="305">
        <f t="shared" si="9"/>
        <v>0.8181818181818182</v>
      </c>
      <c r="R31" s="351">
        <v>0</v>
      </c>
      <c r="S31" s="295">
        <f t="shared" si="11"/>
        <v>0</v>
      </c>
      <c r="T31" s="423">
        <v>1</v>
      </c>
      <c r="U31" s="295">
        <f t="shared" si="12"/>
        <v>0.09090909090909091</v>
      </c>
      <c r="V31" s="424">
        <v>10</v>
      </c>
      <c r="W31" s="8">
        <f t="shared" si="13"/>
        <v>0.9090909090909091</v>
      </c>
      <c r="X31" s="427">
        <v>7</v>
      </c>
      <c r="Y31" s="428">
        <f t="shared" si="10"/>
        <v>0.6363636363636364</v>
      </c>
    </row>
    <row r="32" spans="1:25" s="158" customFormat="1" ht="15">
      <c r="A32" s="353">
        <v>4</v>
      </c>
      <c r="B32" s="353" t="s">
        <v>3</v>
      </c>
      <c r="C32" s="351">
        <v>11</v>
      </c>
      <c r="D32" s="48">
        <f>C32/26</f>
        <v>0.4230769230769231</v>
      </c>
      <c r="E32" s="94">
        <f>507/C32</f>
        <v>46.09090909090909</v>
      </c>
      <c r="F32" s="68">
        <f>102/C32</f>
        <v>9.272727272727273</v>
      </c>
      <c r="G32" s="65">
        <f t="shared" si="7"/>
        <v>0.2897727272727273</v>
      </c>
      <c r="H32" s="351">
        <v>0</v>
      </c>
      <c r="I32" s="65">
        <f t="shared" si="8"/>
        <v>0</v>
      </c>
      <c r="J32" s="351">
        <v>0</v>
      </c>
      <c r="K32" s="48" t="e">
        <f>J32/J32</f>
        <v>#DIV/0!</v>
      </c>
      <c r="L32" s="70">
        <v>0</v>
      </c>
      <c r="M32" s="358"/>
      <c r="N32" s="358"/>
      <c r="O32" s="358"/>
      <c r="P32" s="410">
        <v>0</v>
      </c>
      <c r="Q32" s="63">
        <f t="shared" si="9"/>
        <v>0</v>
      </c>
      <c r="R32" s="351">
        <v>0</v>
      </c>
      <c r="S32" s="295">
        <f t="shared" si="11"/>
        <v>0</v>
      </c>
      <c r="T32" s="423">
        <v>11</v>
      </c>
      <c r="U32" s="295">
        <f t="shared" si="12"/>
        <v>1</v>
      </c>
      <c r="V32" s="424"/>
      <c r="W32" s="8">
        <f t="shared" si="13"/>
        <v>0</v>
      </c>
      <c r="X32" s="427">
        <v>3</v>
      </c>
      <c r="Y32" s="314">
        <f t="shared" si="10"/>
        <v>0.2727272727272727</v>
      </c>
    </row>
    <row r="33" spans="1:25" s="158" customFormat="1" ht="45">
      <c r="A33" s="353">
        <v>5</v>
      </c>
      <c r="B33" s="353" t="s">
        <v>4</v>
      </c>
      <c r="C33" s="351">
        <v>0</v>
      </c>
      <c r="D33" s="48" t="e">
        <f>C33/0</f>
        <v>#DIV/0!</v>
      </c>
      <c r="E33" s="94" t="e">
        <f>(62+45)/C33</f>
        <v>#DIV/0!</v>
      </c>
      <c r="F33" s="68" t="e">
        <f>0/C33</f>
        <v>#DIV/0!</v>
      </c>
      <c r="G33" s="65" t="e">
        <f t="shared" si="7"/>
        <v>#DIV/0!</v>
      </c>
      <c r="H33" s="351">
        <v>0</v>
      </c>
      <c r="I33" s="65" t="e">
        <f t="shared" si="8"/>
        <v>#DIV/0!</v>
      </c>
      <c r="J33" s="351">
        <v>0</v>
      </c>
      <c r="K33" s="48" t="e">
        <f>J33/J33</f>
        <v>#DIV/0!</v>
      </c>
      <c r="L33" s="70">
        <v>0</v>
      </c>
      <c r="M33" s="358"/>
      <c r="N33" s="358"/>
      <c r="O33" s="358"/>
      <c r="P33" s="351">
        <v>0</v>
      </c>
      <c r="Q33" s="63" t="e">
        <f t="shared" si="9"/>
        <v>#DIV/0!</v>
      </c>
      <c r="R33" s="351">
        <v>0</v>
      </c>
      <c r="S33" s="295" t="e">
        <f t="shared" si="11"/>
        <v>#DIV/0!</v>
      </c>
      <c r="T33" s="423"/>
      <c r="U33" s="295" t="e">
        <f t="shared" si="12"/>
        <v>#DIV/0!</v>
      </c>
      <c r="V33" s="424"/>
      <c r="W33" s="8" t="e">
        <f t="shared" si="13"/>
        <v>#DIV/0!</v>
      </c>
      <c r="X33" s="427"/>
      <c r="Y33" s="428" t="e">
        <f t="shared" si="10"/>
        <v>#DIV/0!</v>
      </c>
    </row>
    <row r="34" spans="1:25" s="158" customFormat="1" ht="45">
      <c r="A34" s="353">
        <v>6</v>
      </c>
      <c r="B34" s="353" t="s">
        <v>5</v>
      </c>
      <c r="C34" s="351">
        <v>0</v>
      </c>
      <c r="D34" s="48" t="e">
        <f>C34/0</f>
        <v>#DIV/0!</v>
      </c>
      <c r="E34" s="94" t="e">
        <f>45/C34</f>
        <v>#DIV/0!</v>
      </c>
      <c r="F34" s="68" t="e">
        <f>0/C34</f>
        <v>#DIV/0!</v>
      </c>
      <c r="G34" s="65" t="e">
        <f t="shared" si="7"/>
        <v>#DIV/0!</v>
      </c>
      <c r="H34" s="351">
        <v>0</v>
      </c>
      <c r="I34" s="65" t="e">
        <f t="shared" si="8"/>
        <v>#DIV/0!</v>
      </c>
      <c r="J34" s="351">
        <v>0</v>
      </c>
      <c r="K34" s="48" t="e">
        <f>J34/J34</f>
        <v>#DIV/0!</v>
      </c>
      <c r="L34" s="70"/>
      <c r="M34" s="358"/>
      <c r="N34" s="358"/>
      <c r="O34" s="358"/>
      <c r="P34" s="351">
        <v>0</v>
      </c>
      <c r="Q34" s="63" t="e">
        <f t="shared" si="9"/>
        <v>#DIV/0!</v>
      </c>
      <c r="R34" s="351">
        <v>0</v>
      </c>
      <c r="S34" s="295" t="e">
        <f t="shared" si="11"/>
        <v>#DIV/0!</v>
      </c>
      <c r="T34" s="423"/>
      <c r="U34" s="295" t="e">
        <f t="shared" si="12"/>
        <v>#DIV/0!</v>
      </c>
      <c r="V34" s="424"/>
      <c r="W34" s="8" t="e">
        <f t="shared" si="13"/>
        <v>#DIV/0!</v>
      </c>
      <c r="X34" s="427"/>
      <c r="Y34" s="428" t="e">
        <f t="shared" si="10"/>
        <v>#DIV/0!</v>
      </c>
    </row>
    <row r="35" spans="1:25" s="158" customFormat="1" ht="15">
      <c r="A35" s="290"/>
      <c r="B35" s="290" t="s">
        <v>6</v>
      </c>
      <c r="C35" s="296">
        <f>SUM(C29:C34)</f>
        <v>46</v>
      </c>
      <c r="D35" s="171">
        <f>C35/100</f>
        <v>0.46</v>
      </c>
      <c r="E35" s="287">
        <f>2781/C35</f>
        <v>60.45652173913044</v>
      </c>
      <c r="F35" s="149">
        <f>583/C35</f>
        <v>12.673913043478262</v>
      </c>
      <c r="G35" s="83">
        <f>583/(C35*32)</f>
        <v>0.3960597826086957</v>
      </c>
      <c r="H35" s="296">
        <f>SUM(H29:H34)</f>
        <v>0</v>
      </c>
      <c r="I35" s="65">
        <f t="shared" si="8"/>
        <v>0</v>
      </c>
      <c r="J35" s="296">
        <f>SUM(J29:J34)</f>
        <v>30</v>
      </c>
      <c r="K35" s="48">
        <f>J35/28</f>
        <v>1.0714285714285714</v>
      </c>
      <c r="L35" s="269">
        <f>1693/J35</f>
        <v>56.43333333333333</v>
      </c>
      <c r="M35" s="297"/>
      <c r="N35" s="297"/>
      <c r="O35" s="297"/>
      <c r="P35" s="296">
        <f>SUM(P29:P34)</f>
        <v>25</v>
      </c>
      <c r="Q35" s="298">
        <f t="shared" si="9"/>
        <v>0.5434782608695652</v>
      </c>
      <c r="R35" s="296">
        <f>SUM(R29:R34)</f>
        <v>4</v>
      </c>
      <c r="S35" s="295">
        <f t="shared" si="11"/>
        <v>0.08695652173913043</v>
      </c>
      <c r="T35" s="425">
        <f>SUM(T29:T34)</f>
        <v>20</v>
      </c>
      <c r="U35" s="295">
        <f t="shared" si="12"/>
        <v>0.43478260869565216</v>
      </c>
      <c r="V35" s="424">
        <f>SUM(V29:V34)</f>
        <v>22</v>
      </c>
      <c r="W35" s="8">
        <f t="shared" si="13"/>
        <v>0.4782608695652174</v>
      </c>
      <c r="X35" s="427">
        <f>SUM(X29:X34)</f>
        <v>27</v>
      </c>
      <c r="Y35" s="428">
        <f t="shared" si="10"/>
        <v>0.5869565217391305</v>
      </c>
    </row>
    <row r="36" spans="1:23" ht="15">
      <c r="A36" s="290"/>
      <c r="B36" s="290" t="s">
        <v>22</v>
      </c>
      <c r="C36" s="296"/>
      <c r="D36" s="296"/>
      <c r="E36" s="346">
        <v>62.89</v>
      </c>
      <c r="F36" s="149"/>
      <c r="G36" s="83"/>
      <c r="H36" s="296"/>
      <c r="I36" s="296"/>
      <c r="J36" s="296"/>
      <c r="K36" s="296"/>
      <c r="L36" s="269"/>
      <c r="M36" s="297"/>
      <c r="N36" s="297"/>
      <c r="O36" s="297"/>
      <c r="P36" s="296"/>
      <c r="Q36" s="171"/>
      <c r="R36" s="296"/>
      <c r="S36" s="296"/>
      <c r="T36" s="425"/>
      <c r="U36" s="425"/>
      <c r="V36" s="424"/>
      <c r="W36" s="424"/>
    </row>
    <row r="37" spans="1:25" s="27" customFormat="1" ht="15">
      <c r="A37" s="352"/>
      <c r="B37" s="352"/>
      <c r="C37" s="352"/>
      <c r="D37" s="352"/>
      <c r="E37" s="69"/>
      <c r="F37" s="69"/>
      <c r="G37" s="69"/>
      <c r="H37" s="352"/>
      <c r="I37" s="352"/>
      <c r="J37" s="352"/>
      <c r="K37" s="352"/>
      <c r="L37" s="71"/>
      <c r="M37" s="352"/>
      <c r="N37" s="352"/>
      <c r="O37" s="352"/>
      <c r="P37" s="358"/>
      <c r="Q37" s="358"/>
      <c r="R37" s="358"/>
      <c r="S37" s="358"/>
      <c r="T37" s="352"/>
      <c r="U37" s="352"/>
      <c r="V37" s="4"/>
      <c r="W37" s="4"/>
      <c r="X37" s="4"/>
      <c r="Y37" s="4"/>
    </row>
    <row r="38" spans="1:70" s="27" customFormat="1" ht="15" customHeight="1">
      <c r="A38" s="588" t="s">
        <v>143</v>
      </c>
      <c r="B38" s="589"/>
      <c r="C38" s="589"/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3"/>
      <c r="O38" s="3"/>
      <c r="P38" s="61"/>
      <c r="Q38" s="61"/>
      <c r="R38" s="61"/>
      <c r="S38" s="61"/>
      <c r="T38" s="3"/>
      <c r="U38" s="3"/>
      <c r="V38" s="135"/>
      <c r="W38" s="135"/>
      <c r="X38" s="135"/>
      <c r="Y38" s="135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0" s="27" customFormat="1" ht="15" customHeight="1">
      <c r="A39" s="189"/>
      <c r="B39" s="189"/>
      <c r="C39" s="590" t="s">
        <v>7</v>
      </c>
      <c r="D39" s="590"/>
      <c r="E39" s="621" t="s">
        <v>47</v>
      </c>
      <c r="F39" s="622" t="s">
        <v>20</v>
      </c>
      <c r="G39" s="622" t="s">
        <v>48</v>
      </c>
      <c r="H39" s="590" t="s">
        <v>9</v>
      </c>
      <c r="I39" s="590"/>
      <c r="J39" s="590" t="s">
        <v>13</v>
      </c>
      <c r="K39" s="590"/>
      <c r="L39" s="590"/>
      <c r="M39" s="188"/>
      <c r="N39" s="188"/>
      <c r="O39" s="188"/>
      <c r="P39" s="587" t="s">
        <v>181</v>
      </c>
      <c r="Q39" s="587"/>
      <c r="R39" s="587" t="s">
        <v>24</v>
      </c>
      <c r="S39" s="587"/>
      <c r="T39" s="590" t="s">
        <v>122</v>
      </c>
      <c r="U39" s="590"/>
      <c r="V39" s="135"/>
      <c r="W39" s="135"/>
      <c r="X39" s="135"/>
      <c r="Y39" s="135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0" s="27" customFormat="1" ht="195">
      <c r="A40" s="189"/>
      <c r="B40" s="189"/>
      <c r="C40" s="189" t="s">
        <v>8</v>
      </c>
      <c r="D40" s="189" t="s">
        <v>11</v>
      </c>
      <c r="E40" s="621"/>
      <c r="F40" s="623"/>
      <c r="G40" s="623"/>
      <c r="H40" s="189" t="s">
        <v>8</v>
      </c>
      <c r="I40" s="189" t="s">
        <v>10</v>
      </c>
      <c r="J40" s="189" t="s">
        <v>14</v>
      </c>
      <c r="K40" s="189" t="s">
        <v>12</v>
      </c>
      <c r="L40" s="53" t="s">
        <v>15</v>
      </c>
      <c r="M40" s="188"/>
      <c r="N40" s="188"/>
      <c r="O40" s="188"/>
      <c r="P40" s="186" t="s">
        <v>8</v>
      </c>
      <c r="Q40" s="186" t="s">
        <v>10</v>
      </c>
      <c r="R40" s="186" t="s">
        <v>8</v>
      </c>
      <c r="S40" s="186" t="s">
        <v>10</v>
      </c>
      <c r="T40" s="189" t="s">
        <v>8</v>
      </c>
      <c r="U40" s="189" t="s">
        <v>11</v>
      </c>
      <c r="V40" s="3"/>
      <c r="W40" s="3"/>
      <c r="X40" s="3"/>
      <c r="Y40" s="3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  <row r="41" spans="1:70" s="27" customFormat="1" ht="15">
      <c r="A41" s="189">
        <v>1</v>
      </c>
      <c r="B41" s="189" t="s">
        <v>0</v>
      </c>
      <c r="C41" s="189">
        <v>44</v>
      </c>
      <c r="D41" s="7">
        <f>C41/51</f>
        <v>0.8627450980392157</v>
      </c>
      <c r="E41" s="315">
        <f>2591/C41</f>
        <v>58.88636363636363</v>
      </c>
      <c r="F41" s="193">
        <f>537/C41</f>
        <v>12.204545454545455</v>
      </c>
      <c r="G41" s="191">
        <f>F41/32</f>
        <v>0.38139204545454547</v>
      </c>
      <c r="H41" s="189">
        <v>0</v>
      </c>
      <c r="I41" s="191">
        <f>H41/C41</f>
        <v>0</v>
      </c>
      <c r="J41" s="273">
        <v>37</v>
      </c>
      <c r="K41" s="317">
        <v>1</v>
      </c>
      <c r="L41" s="53">
        <v>63</v>
      </c>
      <c r="M41" s="188"/>
      <c r="N41" s="188"/>
      <c r="O41" s="188"/>
      <c r="P41" s="186">
        <v>28</v>
      </c>
      <c r="Q41" s="66">
        <f>P41/C41</f>
        <v>0.6363636363636364</v>
      </c>
      <c r="R41" s="186">
        <v>1</v>
      </c>
      <c r="S41" s="49">
        <f>R41/C41</f>
        <v>0.022727272727272728</v>
      </c>
      <c r="T41" s="293">
        <v>17</v>
      </c>
      <c r="U41" s="65">
        <f>T41/51</f>
        <v>0.3333333333333333</v>
      </c>
      <c r="V41" s="158"/>
      <c r="W41" s="158"/>
      <c r="X41" s="158"/>
      <c r="Y41" s="158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</row>
    <row r="42" spans="1:252" s="152" customFormat="1" ht="15" customHeight="1">
      <c r="A42" s="189">
        <v>2</v>
      </c>
      <c r="B42" s="189" t="s">
        <v>1</v>
      </c>
      <c r="C42" s="189">
        <v>1</v>
      </c>
      <c r="D42" s="7">
        <f>C42/19</f>
        <v>0.05263157894736842</v>
      </c>
      <c r="E42" s="315">
        <f>56/C42</f>
        <v>56</v>
      </c>
      <c r="F42" s="193">
        <f>11/C42</f>
        <v>11</v>
      </c>
      <c r="G42" s="191">
        <f>F42/32</f>
        <v>0.34375</v>
      </c>
      <c r="H42" s="189">
        <v>0</v>
      </c>
      <c r="I42" s="191">
        <f>H42/C42</f>
        <v>0</v>
      </c>
      <c r="J42" s="273">
        <v>0</v>
      </c>
      <c r="K42" s="317" t="e">
        <f aca="true" t="shared" si="14" ref="K42:K47">J42/J42</f>
        <v>#DIV/0!</v>
      </c>
      <c r="L42" s="53">
        <v>0</v>
      </c>
      <c r="M42" s="188"/>
      <c r="N42" s="188"/>
      <c r="O42" s="188"/>
      <c r="P42" s="186">
        <v>1</v>
      </c>
      <c r="Q42" s="49">
        <f>P42/C42</f>
        <v>1</v>
      </c>
      <c r="R42" s="186">
        <v>0</v>
      </c>
      <c r="S42" s="49">
        <f aca="true" t="shared" si="15" ref="S42:S47">R42/C42</f>
        <v>0</v>
      </c>
      <c r="T42" s="293">
        <v>1</v>
      </c>
      <c r="U42" s="65">
        <f>T42/20</f>
        <v>0.05</v>
      </c>
      <c r="V42" s="158"/>
      <c r="W42" s="158"/>
      <c r="X42" s="158"/>
      <c r="Y42" s="158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s="152" customFormat="1" ht="15">
      <c r="A43" s="189">
        <v>3</v>
      </c>
      <c r="B43" s="189" t="s">
        <v>2</v>
      </c>
      <c r="C43" s="189">
        <v>10</v>
      </c>
      <c r="D43" s="7">
        <f>C43/26</f>
        <v>0.38461538461538464</v>
      </c>
      <c r="E43" s="309">
        <f>597/C43</f>
        <v>59.7</v>
      </c>
      <c r="F43" s="193">
        <f>121/C43</f>
        <v>12.1</v>
      </c>
      <c r="G43" s="191">
        <f>F43/32</f>
        <v>0.378125</v>
      </c>
      <c r="H43" s="189">
        <v>0</v>
      </c>
      <c r="I43" s="191">
        <f>H43/C43</f>
        <v>0</v>
      </c>
      <c r="J43" s="273">
        <v>6</v>
      </c>
      <c r="K43" s="317">
        <f>J43/J43</f>
        <v>1</v>
      </c>
      <c r="L43" s="70">
        <f>395/J43</f>
        <v>65.83333333333333</v>
      </c>
      <c r="M43" s="601"/>
      <c r="N43" s="589"/>
      <c r="O43" s="589"/>
      <c r="P43" s="186">
        <v>7</v>
      </c>
      <c r="Q43" s="49">
        <f>P43/C43</f>
        <v>0.7</v>
      </c>
      <c r="R43" s="186">
        <v>0</v>
      </c>
      <c r="S43" s="49">
        <f t="shared" si="15"/>
        <v>0</v>
      </c>
      <c r="T43" s="293">
        <v>4</v>
      </c>
      <c r="U43" s="65">
        <f>T43/27</f>
        <v>0.14814814814814814</v>
      </c>
      <c r="V43" s="158"/>
      <c r="W43" s="158"/>
      <c r="X43" s="158"/>
      <c r="Y43" s="158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s="152" customFormat="1" ht="15">
      <c r="A44" s="189">
        <v>4</v>
      </c>
      <c r="B44" s="189" t="s">
        <v>3</v>
      </c>
      <c r="C44" s="189">
        <v>7</v>
      </c>
      <c r="D44" s="7">
        <f>C44/25</f>
        <v>0.28</v>
      </c>
      <c r="E44" s="309">
        <f>363/C44</f>
        <v>51.857142857142854</v>
      </c>
      <c r="F44" s="193">
        <f>73/C44</f>
        <v>10.428571428571429</v>
      </c>
      <c r="G44" s="191">
        <f>F44/32</f>
        <v>0.32589285714285715</v>
      </c>
      <c r="H44" s="189">
        <v>0</v>
      </c>
      <c r="I44" s="191">
        <f>H44/C44</f>
        <v>0</v>
      </c>
      <c r="J44" s="273">
        <v>0</v>
      </c>
      <c r="K44" s="317" t="e">
        <f t="shared" si="14"/>
        <v>#DIV/0!</v>
      </c>
      <c r="L44" s="53">
        <v>0</v>
      </c>
      <c r="M44" s="188"/>
      <c r="N44" s="188"/>
      <c r="O44" s="188"/>
      <c r="P44" s="186">
        <v>3</v>
      </c>
      <c r="Q44" s="63">
        <f>P44/C44</f>
        <v>0.42857142857142855</v>
      </c>
      <c r="R44" s="186">
        <v>0</v>
      </c>
      <c r="S44" s="49">
        <f t="shared" si="15"/>
        <v>0</v>
      </c>
      <c r="T44" s="293">
        <v>7</v>
      </c>
      <c r="U44" s="65">
        <f>T44/21</f>
        <v>0.3333333333333333</v>
      </c>
      <c r="V44" s="158"/>
      <c r="W44" s="158"/>
      <c r="X44" s="158"/>
      <c r="Y44" s="158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s="152" customFormat="1" ht="45">
      <c r="A45" s="189">
        <v>5</v>
      </c>
      <c r="B45" s="189" t="s">
        <v>4</v>
      </c>
      <c r="C45" s="189"/>
      <c r="D45" s="7"/>
      <c r="E45" s="11" t="e">
        <f>(62+45)/C45</f>
        <v>#DIV/0!</v>
      </c>
      <c r="F45" s="193" t="e">
        <f>(12+9)/C45</f>
        <v>#DIV/0!</v>
      </c>
      <c r="G45" s="191" t="e">
        <f>F45/32</f>
        <v>#DIV/0!</v>
      </c>
      <c r="H45" s="189"/>
      <c r="I45" s="191"/>
      <c r="J45" s="189"/>
      <c r="K45" s="48" t="e">
        <f t="shared" si="14"/>
        <v>#DIV/0!</v>
      </c>
      <c r="L45" s="53"/>
      <c r="M45" s="188"/>
      <c r="N45" s="188"/>
      <c r="O45" s="188"/>
      <c r="P45" s="186"/>
      <c r="Q45" s="49"/>
      <c r="R45" s="186"/>
      <c r="S45" s="49" t="e">
        <f t="shared" si="15"/>
        <v>#DIV/0!</v>
      </c>
      <c r="T45" s="293"/>
      <c r="U45" s="65">
        <f>T45/5</f>
        <v>0</v>
      </c>
      <c r="V45" s="158"/>
      <c r="W45" s="158"/>
      <c r="X45" s="158"/>
      <c r="Y45" s="158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s="152" customFormat="1" ht="45">
      <c r="A46" s="189">
        <v>6</v>
      </c>
      <c r="B46" s="189" t="s">
        <v>5</v>
      </c>
      <c r="C46" s="189">
        <v>1</v>
      </c>
      <c r="D46" s="7">
        <f>C46/2</f>
        <v>0.5</v>
      </c>
      <c r="E46" s="315">
        <f>45/C46</f>
        <v>45</v>
      </c>
      <c r="F46" s="193">
        <f>9/C46</f>
        <v>9</v>
      </c>
      <c r="G46" s="191"/>
      <c r="H46" s="189">
        <v>0</v>
      </c>
      <c r="I46" s="191">
        <f>H46/C46</f>
        <v>0</v>
      </c>
      <c r="J46" s="189">
        <v>0</v>
      </c>
      <c r="K46" s="48" t="e">
        <f t="shared" si="14"/>
        <v>#DIV/0!</v>
      </c>
      <c r="L46" s="53"/>
      <c r="M46" s="188"/>
      <c r="N46" s="188"/>
      <c r="O46" s="188"/>
      <c r="P46" s="186">
        <v>0</v>
      </c>
      <c r="Q46" s="63">
        <f>P46/C46</f>
        <v>0</v>
      </c>
      <c r="R46" s="186">
        <v>0</v>
      </c>
      <c r="S46" s="49">
        <f t="shared" si="15"/>
        <v>0</v>
      </c>
      <c r="T46" s="293">
        <v>0</v>
      </c>
      <c r="U46" s="65"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s="152" customFormat="1" ht="15">
      <c r="A47" s="6"/>
      <c r="B47" s="6" t="s">
        <v>6</v>
      </c>
      <c r="C47" s="6">
        <f>SUM(C41:C46)</f>
        <v>63</v>
      </c>
      <c r="D47" s="10">
        <f>C47/123</f>
        <v>0.5121951219512195</v>
      </c>
      <c r="E47" s="283">
        <f>3652/C47</f>
        <v>57.96825396825397</v>
      </c>
      <c r="F47" s="67">
        <f>751/C47</f>
        <v>11.920634920634921</v>
      </c>
      <c r="G47" s="13">
        <f>751/(C47*32)</f>
        <v>0.3725198412698413</v>
      </c>
      <c r="H47" s="6">
        <f>SUM(H41:H46)</f>
        <v>0</v>
      </c>
      <c r="I47" s="191">
        <f>H47/C47</f>
        <v>0</v>
      </c>
      <c r="J47" s="6">
        <f>SUM(J41:J46)</f>
        <v>43</v>
      </c>
      <c r="K47" s="48">
        <f t="shared" si="14"/>
        <v>1</v>
      </c>
      <c r="L47" s="54">
        <f>1795/J47</f>
        <v>41.74418604651163</v>
      </c>
      <c r="M47" s="187"/>
      <c r="N47" s="187"/>
      <c r="O47" s="187"/>
      <c r="P47" s="281">
        <f>SUM(P41:P46)</f>
        <v>39</v>
      </c>
      <c r="Q47" s="302">
        <f>P47/C47</f>
        <v>0.6190476190476191</v>
      </c>
      <c r="R47" s="281">
        <f>SUM(R41:R46)</f>
        <v>1</v>
      </c>
      <c r="S47" s="305">
        <f t="shared" si="15"/>
        <v>0.015873015873015872</v>
      </c>
      <c r="T47" s="296">
        <f>SUM(T41:T46)</f>
        <v>29</v>
      </c>
      <c r="U47" s="83">
        <f>T47/119</f>
        <v>0.24369747899159663</v>
      </c>
      <c r="V47" s="47"/>
      <c r="W47" s="47"/>
      <c r="X47" s="47"/>
      <c r="Y47" s="47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s="152" customFormat="1" ht="15">
      <c r="A48" s="6"/>
      <c r="B48" s="6" t="s">
        <v>22</v>
      </c>
      <c r="C48" s="6"/>
      <c r="D48" s="6"/>
      <c r="E48" s="21">
        <v>54.92</v>
      </c>
      <c r="F48" s="67"/>
      <c r="G48" s="13"/>
      <c r="H48" s="6"/>
      <c r="I48" s="6"/>
      <c r="J48" s="6"/>
      <c r="K48" s="6"/>
      <c r="L48" s="54"/>
      <c r="M48" s="187"/>
      <c r="N48" s="187"/>
      <c r="O48" s="187"/>
      <c r="P48" s="50"/>
      <c r="Q48" s="171"/>
      <c r="R48" s="50"/>
      <c r="S48" s="50"/>
      <c r="T48" s="6"/>
      <c r="U48" s="9"/>
      <c r="V48" s="294"/>
      <c r="W48" s="294"/>
      <c r="X48" s="294"/>
      <c r="Y48" s="294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1:252" s="152" customFormat="1" ht="15">
      <c r="A49" s="5"/>
      <c r="B49" s="5"/>
      <c r="C49" s="590" t="s">
        <v>7</v>
      </c>
      <c r="D49" s="590"/>
      <c r="E49" s="621" t="s">
        <v>47</v>
      </c>
      <c r="F49" s="622" t="s">
        <v>20</v>
      </c>
      <c r="G49" s="622" t="s">
        <v>48</v>
      </c>
      <c r="H49" s="590" t="s">
        <v>9</v>
      </c>
      <c r="I49" s="590"/>
      <c r="J49" s="590" t="s">
        <v>13</v>
      </c>
      <c r="K49" s="590"/>
      <c r="L49" s="590"/>
      <c r="M49" s="3"/>
      <c r="N49" s="3"/>
      <c r="O49" s="3"/>
      <c r="P49" s="587" t="s">
        <v>129</v>
      </c>
      <c r="Q49" s="587"/>
      <c r="R49" s="587" t="s">
        <v>24</v>
      </c>
      <c r="S49" s="587"/>
      <c r="T49" s="591" t="s">
        <v>122</v>
      </c>
      <c r="U49" s="624"/>
      <c r="V49" s="294"/>
      <c r="W49" s="294"/>
      <c r="X49" s="294"/>
      <c r="Y49" s="294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s="152" customFormat="1" ht="195">
      <c r="A50" s="5"/>
      <c r="B50" s="5"/>
      <c r="C50" s="5" t="s">
        <v>8</v>
      </c>
      <c r="D50" s="5" t="s">
        <v>11</v>
      </c>
      <c r="E50" s="621"/>
      <c r="F50" s="623"/>
      <c r="G50" s="623"/>
      <c r="H50" s="5" t="s">
        <v>8</v>
      </c>
      <c r="I50" s="5" t="s">
        <v>10</v>
      </c>
      <c r="J50" s="5" t="s">
        <v>14</v>
      </c>
      <c r="K50" s="5" t="s">
        <v>12</v>
      </c>
      <c r="L50" s="53" t="s">
        <v>15</v>
      </c>
      <c r="M50" s="3"/>
      <c r="N50" s="3"/>
      <c r="O50" s="3"/>
      <c r="P50" s="60" t="s">
        <v>8</v>
      </c>
      <c r="Q50" s="60" t="s">
        <v>10</v>
      </c>
      <c r="R50" s="60" t="s">
        <v>8</v>
      </c>
      <c r="S50" s="60" t="s">
        <v>10</v>
      </c>
      <c r="T50" s="109" t="s">
        <v>8</v>
      </c>
      <c r="U50" s="109" t="s">
        <v>11</v>
      </c>
      <c r="V50" s="294"/>
      <c r="W50" s="294"/>
      <c r="X50" s="294"/>
      <c r="Y50" s="294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" ht="15">
      <c r="A51" s="5">
        <v>1</v>
      </c>
      <c r="B51" s="5" t="s">
        <v>0</v>
      </c>
      <c r="C51" s="5">
        <v>18</v>
      </c>
      <c r="D51" s="7">
        <f>C51/25</f>
        <v>0.72</v>
      </c>
      <c r="E51" s="20">
        <f>1092/C51</f>
        <v>60.666666666666664</v>
      </c>
      <c r="F51" s="20">
        <f>(11+8+12+18+16+10+12+15+7+7+14+12+16+15+13+14+8+18)/C51</f>
        <v>12.555555555555555</v>
      </c>
      <c r="G51" s="12">
        <f>F51/32</f>
        <v>0.3923611111111111</v>
      </c>
      <c r="H51" s="5">
        <v>0</v>
      </c>
      <c r="I51" s="12">
        <f>H51/C51</f>
        <v>0</v>
      </c>
      <c r="J51" s="5">
        <v>17</v>
      </c>
      <c r="K51" s="7">
        <f>12/12</f>
        <v>1</v>
      </c>
      <c r="L51" s="53">
        <f>754/12</f>
        <v>62.833333333333336</v>
      </c>
      <c r="P51" s="60">
        <v>13</v>
      </c>
      <c r="Q51" s="66">
        <f>P51/C51</f>
        <v>0.7222222222222222</v>
      </c>
      <c r="R51" s="60">
        <v>0</v>
      </c>
      <c r="S51" s="49">
        <f>R51/C51</f>
        <v>0</v>
      </c>
      <c r="T51" s="293">
        <v>7</v>
      </c>
      <c r="U51" s="65">
        <f>T51/25</f>
        <v>0.28</v>
      </c>
      <c r="V51" s="294"/>
      <c r="W51" s="294"/>
      <c r="X51" s="294"/>
      <c r="Y51" s="294"/>
    </row>
    <row r="52" spans="1:25" ht="15">
      <c r="A52" s="5">
        <v>2</v>
      </c>
      <c r="B52" s="5" t="s">
        <v>1</v>
      </c>
      <c r="C52" s="5">
        <v>8</v>
      </c>
      <c r="D52" s="7">
        <f>C52/20</f>
        <v>0.4</v>
      </c>
      <c r="E52" s="20">
        <f>457/C52</f>
        <v>57.125</v>
      </c>
      <c r="F52" s="20">
        <f>(12+11+10+10+11+15+15+8)/C52</f>
        <v>11.5</v>
      </c>
      <c r="G52" s="12">
        <f>F52/32</f>
        <v>0.359375</v>
      </c>
      <c r="H52" s="5">
        <v>0</v>
      </c>
      <c r="I52" s="12">
        <f aca="true" t="shared" si="16" ref="I52:I57">H52/C52</f>
        <v>0</v>
      </c>
      <c r="J52" s="5">
        <v>0</v>
      </c>
      <c r="K52" s="8">
        <v>0</v>
      </c>
      <c r="L52" s="53">
        <v>0</v>
      </c>
      <c r="P52" s="60">
        <v>5</v>
      </c>
      <c r="Q52" s="49">
        <f>P52/C52</f>
        <v>0.625</v>
      </c>
      <c r="R52" s="60">
        <v>0</v>
      </c>
      <c r="S52" s="49">
        <f aca="true" t="shared" si="17" ref="S52:S57">R52/C52</f>
        <v>0</v>
      </c>
      <c r="T52" s="293">
        <v>3</v>
      </c>
      <c r="U52" s="65">
        <f>T52/20</f>
        <v>0.15</v>
      </c>
      <c r="V52" s="294"/>
      <c r="W52" s="294"/>
      <c r="X52" s="294"/>
      <c r="Y52" s="294"/>
    </row>
    <row r="53" spans="1:25" ht="15">
      <c r="A53" s="5">
        <v>3</v>
      </c>
      <c r="B53" s="5" t="s">
        <v>2</v>
      </c>
      <c r="C53" s="5">
        <v>14</v>
      </c>
      <c r="D53" s="7">
        <f>C53/27</f>
        <v>0.5185185185185185</v>
      </c>
      <c r="E53" s="20">
        <f>725/C53</f>
        <v>51.785714285714285</v>
      </c>
      <c r="F53" s="20">
        <f>148/C53</f>
        <v>10.571428571428571</v>
      </c>
      <c r="G53" s="12">
        <f>F53/32</f>
        <v>0.33035714285714285</v>
      </c>
      <c r="H53" s="5">
        <v>1</v>
      </c>
      <c r="I53" s="12">
        <f t="shared" si="16"/>
        <v>0.07142857142857142</v>
      </c>
      <c r="J53" s="92">
        <v>9</v>
      </c>
      <c r="K53" s="48">
        <f>J53/9</f>
        <v>1</v>
      </c>
      <c r="L53" s="70">
        <f>(72+45+56+23+62+76+72+68+68)/9</f>
        <v>60.22222222222222</v>
      </c>
      <c r="M53" s="601"/>
      <c r="N53" s="589"/>
      <c r="O53" s="589"/>
      <c r="P53" s="60">
        <v>7</v>
      </c>
      <c r="Q53" s="49">
        <f>P53/C53</f>
        <v>0.5</v>
      </c>
      <c r="R53" s="60">
        <v>0</v>
      </c>
      <c r="S53" s="49">
        <f t="shared" si="17"/>
        <v>0</v>
      </c>
      <c r="T53" s="293">
        <v>5</v>
      </c>
      <c r="U53" s="65">
        <f>T53/27</f>
        <v>0.18518518518518517</v>
      </c>
      <c r="V53" s="294"/>
      <c r="W53" s="294"/>
      <c r="X53" s="294"/>
      <c r="Y53" s="294"/>
    </row>
    <row r="54" spans="1:25" ht="15">
      <c r="A54" s="5">
        <v>4</v>
      </c>
      <c r="B54" s="5" t="s">
        <v>3</v>
      </c>
      <c r="C54" s="5">
        <v>9</v>
      </c>
      <c r="D54" s="7">
        <f>C54/28</f>
        <v>0.32142857142857145</v>
      </c>
      <c r="E54" s="20">
        <f>376/C54</f>
        <v>41.77777777777778</v>
      </c>
      <c r="F54" s="20">
        <f>(5+10+13+11+9+9+6+8+5)/C54</f>
        <v>8.444444444444445</v>
      </c>
      <c r="G54" s="12">
        <f>F54/32</f>
        <v>0.2638888888888889</v>
      </c>
      <c r="H54" s="5">
        <v>2</v>
      </c>
      <c r="I54" s="12">
        <f t="shared" si="16"/>
        <v>0.2222222222222222</v>
      </c>
      <c r="J54" s="5">
        <v>0</v>
      </c>
      <c r="K54" s="8">
        <v>0</v>
      </c>
      <c r="L54" s="53">
        <v>0</v>
      </c>
      <c r="P54" s="60">
        <v>2</v>
      </c>
      <c r="Q54" s="63">
        <f>P54/C54</f>
        <v>0.2222222222222222</v>
      </c>
      <c r="R54" s="60">
        <v>0</v>
      </c>
      <c r="S54" s="49">
        <f t="shared" si="17"/>
        <v>0</v>
      </c>
      <c r="T54" s="293">
        <v>2</v>
      </c>
      <c r="U54" s="65">
        <f>T54/28</f>
        <v>0.07142857142857142</v>
      </c>
      <c r="V54" s="294"/>
      <c r="W54" s="294"/>
      <c r="X54" s="294"/>
      <c r="Y54" s="294"/>
    </row>
    <row r="55" spans="1:25" ht="45">
      <c r="A55" s="5">
        <v>5</v>
      </c>
      <c r="B55" s="5" t="s">
        <v>4</v>
      </c>
      <c r="C55" s="5"/>
      <c r="D55" s="7"/>
      <c r="E55" s="20" t="e">
        <f>(62+45)/C55</f>
        <v>#DIV/0!</v>
      </c>
      <c r="F55" s="20" t="e">
        <f>(12+9)/C55</f>
        <v>#DIV/0!</v>
      </c>
      <c r="G55" s="12" t="e">
        <f>F55/32</f>
        <v>#DIV/0!</v>
      </c>
      <c r="H55" s="5"/>
      <c r="I55" s="12"/>
      <c r="J55" s="5"/>
      <c r="K55" s="5"/>
      <c r="L55" s="53"/>
      <c r="P55" s="60"/>
      <c r="Q55" s="49"/>
      <c r="R55" s="60"/>
      <c r="S55" s="49" t="e">
        <f t="shared" si="17"/>
        <v>#DIV/0!</v>
      </c>
      <c r="T55" s="293"/>
      <c r="U55" s="65">
        <f>T55/5</f>
        <v>0</v>
      </c>
      <c r="V55" s="294"/>
      <c r="W55" s="294"/>
      <c r="X55" s="294"/>
      <c r="Y55" s="294"/>
    </row>
    <row r="56" spans="1:21" ht="45">
      <c r="A56" s="5">
        <v>6</v>
      </c>
      <c r="B56" s="5" t="s">
        <v>5</v>
      </c>
      <c r="C56" s="5">
        <v>2</v>
      </c>
      <c r="D56" s="7">
        <f>C56/5</f>
        <v>0.4</v>
      </c>
      <c r="E56" s="20">
        <f>107/C56</f>
        <v>53.5</v>
      </c>
      <c r="F56" s="20">
        <f>(12+9)/C56</f>
        <v>10.5</v>
      </c>
      <c r="G56" s="12"/>
      <c r="H56" s="5"/>
      <c r="I56" s="12">
        <f t="shared" si="16"/>
        <v>0</v>
      </c>
      <c r="J56" s="5"/>
      <c r="K56" s="5"/>
      <c r="L56" s="53"/>
      <c r="P56" s="60">
        <v>1</v>
      </c>
      <c r="Q56" s="63">
        <f>P56/C56</f>
        <v>0.5</v>
      </c>
      <c r="R56" s="60"/>
      <c r="S56" s="49">
        <f t="shared" si="17"/>
        <v>0</v>
      </c>
      <c r="T56" s="293"/>
      <c r="U56" s="65"/>
    </row>
    <row r="57" spans="1:21" ht="15">
      <c r="A57" s="6"/>
      <c r="B57" s="6" t="s">
        <v>6</v>
      </c>
      <c r="C57" s="6">
        <f>SUM(C51:C56)</f>
        <v>51</v>
      </c>
      <c r="D57" s="10">
        <f>C57/107</f>
        <v>0.4766355140186916</v>
      </c>
      <c r="E57" s="21">
        <f>2757/C57</f>
        <v>54.05882352941177</v>
      </c>
      <c r="F57" s="67">
        <f>(21+76+148+92+226)/C57</f>
        <v>11.03921568627451</v>
      </c>
      <c r="G57" s="13">
        <f>(21+76+148+92+226)/(C57*32)</f>
        <v>0.3449754901960784</v>
      </c>
      <c r="H57" s="6">
        <f>SUM(H51:H56)</f>
        <v>3</v>
      </c>
      <c r="I57" s="12">
        <f t="shared" si="16"/>
        <v>0.058823529411764705</v>
      </c>
      <c r="J57" s="6"/>
      <c r="K57" s="6"/>
      <c r="L57" s="54"/>
      <c r="M57" s="4"/>
      <c r="N57" s="4"/>
      <c r="O57" s="4"/>
      <c r="P57" s="50">
        <f>SUM(P51:P56)</f>
        <v>28</v>
      </c>
      <c r="Q57" s="66">
        <f>P57/C57</f>
        <v>0.5490196078431373</v>
      </c>
      <c r="R57" s="50">
        <f>SUM(R51:R56)</f>
        <v>0</v>
      </c>
      <c r="S57" s="49">
        <f t="shared" si="17"/>
        <v>0</v>
      </c>
      <c r="T57" s="296">
        <f>SUM(T51:T56)</f>
        <v>17</v>
      </c>
      <c r="U57" s="83">
        <f>T57/107</f>
        <v>0.1588785046728972</v>
      </c>
    </row>
    <row r="58" spans="1:21" ht="15">
      <c r="A58" s="6"/>
      <c r="B58" s="6" t="s">
        <v>22</v>
      </c>
      <c r="C58" s="6"/>
      <c r="D58" s="6"/>
      <c r="E58" s="21">
        <v>53.03</v>
      </c>
      <c r="F58" s="67"/>
      <c r="G58" s="13"/>
      <c r="H58" s="6"/>
      <c r="I58" s="6"/>
      <c r="J58" s="6"/>
      <c r="K58" s="6"/>
      <c r="L58" s="54"/>
      <c r="M58" s="22"/>
      <c r="N58" s="22"/>
      <c r="O58" s="22"/>
      <c r="P58" s="50"/>
      <c r="Q58" s="171">
        <v>0.5</v>
      </c>
      <c r="R58" s="50"/>
      <c r="S58" s="50"/>
      <c r="T58" s="296"/>
      <c r="U58" s="298">
        <v>0.0264</v>
      </c>
    </row>
    <row r="59" spans="1:21" ht="15">
      <c r="A59" s="625" t="s">
        <v>173</v>
      </c>
      <c r="B59" s="625"/>
      <c r="C59" s="625"/>
      <c r="D59" s="625"/>
      <c r="E59" s="625"/>
      <c r="F59" s="625"/>
      <c r="G59" s="625"/>
      <c r="H59" s="625"/>
      <c r="I59" s="625"/>
      <c r="J59" s="625"/>
      <c r="K59" s="625"/>
      <c r="L59" s="625"/>
      <c r="M59" s="625"/>
      <c r="N59" s="625"/>
      <c r="O59" s="625"/>
      <c r="P59" s="625"/>
      <c r="Q59" s="625"/>
      <c r="R59" s="625"/>
      <c r="T59" s="47"/>
      <c r="U59" s="47"/>
    </row>
    <row r="60" spans="1:21" ht="15">
      <c r="A60" s="293"/>
      <c r="B60" s="293"/>
      <c r="C60" s="587" t="s">
        <v>7</v>
      </c>
      <c r="D60" s="587"/>
      <c r="E60" s="626" t="s">
        <v>69</v>
      </c>
      <c r="F60" s="626"/>
      <c r="G60" s="626" t="s">
        <v>67</v>
      </c>
      <c r="H60" s="626"/>
      <c r="I60" s="587" t="s">
        <v>68</v>
      </c>
      <c r="J60" s="587"/>
      <c r="K60" s="271"/>
      <c r="L60" s="294"/>
      <c r="M60" s="294"/>
      <c r="N60" s="294"/>
      <c r="O60" s="294"/>
      <c r="P60" s="294"/>
      <c r="Q60" s="294"/>
      <c r="R60" s="294"/>
      <c r="S60" s="294"/>
      <c r="T60" s="294"/>
      <c r="U60" s="294"/>
    </row>
    <row r="61" spans="1:21" ht="120">
      <c r="A61" s="293"/>
      <c r="B61" s="293"/>
      <c r="C61" s="293" t="s">
        <v>8</v>
      </c>
      <c r="D61" s="293" t="s">
        <v>11</v>
      </c>
      <c r="E61" s="293" t="s">
        <v>8</v>
      </c>
      <c r="F61" s="293" t="s">
        <v>25</v>
      </c>
      <c r="G61" s="293" t="s">
        <v>8</v>
      </c>
      <c r="H61" s="293" t="s">
        <v>25</v>
      </c>
      <c r="I61" s="293" t="s">
        <v>8</v>
      </c>
      <c r="J61" s="293" t="s">
        <v>25</v>
      </c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</row>
    <row r="62" spans="1:21" ht="15">
      <c r="A62" s="293">
        <v>1</v>
      </c>
      <c r="B62" s="293" t="s">
        <v>0</v>
      </c>
      <c r="C62" s="289">
        <v>44</v>
      </c>
      <c r="D62" s="291">
        <f>C62/51</f>
        <v>0.8627450980392157</v>
      </c>
      <c r="E62" s="293">
        <v>20</v>
      </c>
      <c r="F62" s="295">
        <f aca="true" t="shared" si="18" ref="F62:F68">E62/C62</f>
        <v>0.45454545454545453</v>
      </c>
      <c r="G62" s="293">
        <v>23</v>
      </c>
      <c r="H62" s="295">
        <f aca="true" t="shared" si="19" ref="H62:H68">G62/C62</f>
        <v>0.5227272727272727</v>
      </c>
      <c r="I62" s="293">
        <v>1</v>
      </c>
      <c r="J62" s="295">
        <f aca="true" t="shared" si="20" ref="J62:J68">I62/C62</f>
        <v>0.022727272727272728</v>
      </c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</row>
    <row r="63" spans="1:21" ht="15">
      <c r="A63" s="293">
        <v>2</v>
      </c>
      <c r="B63" s="293" t="s">
        <v>1</v>
      </c>
      <c r="C63" s="289">
        <v>1</v>
      </c>
      <c r="D63" s="291">
        <f>C63/19</f>
        <v>0.05263157894736842</v>
      </c>
      <c r="E63" s="293">
        <v>1</v>
      </c>
      <c r="F63" s="295">
        <f t="shared" si="18"/>
        <v>1</v>
      </c>
      <c r="G63" s="293">
        <v>0</v>
      </c>
      <c r="H63" s="295">
        <f t="shared" si="19"/>
        <v>0</v>
      </c>
      <c r="I63" s="293">
        <v>0</v>
      </c>
      <c r="J63" s="295">
        <f t="shared" si="20"/>
        <v>0</v>
      </c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</row>
    <row r="64" spans="1:21" ht="15">
      <c r="A64" s="293">
        <v>3</v>
      </c>
      <c r="B64" s="293" t="s">
        <v>2</v>
      </c>
      <c r="C64" s="289">
        <v>10</v>
      </c>
      <c r="D64" s="291">
        <f>C64/26</f>
        <v>0.38461538461538464</v>
      </c>
      <c r="E64" s="293">
        <v>5</v>
      </c>
      <c r="F64" s="295">
        <f t="shared" si="18"/>
        <v>0.5</v>
      </c>
      <c r="G64" s="293">
        <v>5</v>
      </c>
      <c r="H64" s="295">
        <f t="shared" si="19"/>
        <v>0.5</v>
      </c>
      <c r="I64" s="293">
        <v>0</v>
      </c>
      <c r="J64" s="295">
        <f t="shared" si="20"/>
        <v>0</v>
      </c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</row>
    <row r="65" spans="1:21" ht="15">
      <c r="A65" s="293">
        <v>4</v>
      </c>
      <c r="B65" s="293" t="s">
        <v>3</v>
      </c>
      <c r="C65" s="289">
        <v>7</v>
      </c>
      <c r="D65" s="291">
        <f>C65/25</f>
        <v>0.28</v>
      </c>
      <c r="E65" s="293">
        <v>5</v>
      </c>
      <c r="F65" s="295">
        <f t="shared" si="18"/>
        <v>0.7142857142857143</v>
      </c>
      <c r="G65" s="293">
        <v>2</v>
      </c>
      <c r="H65" s="295">
        <f t="shared" si="19"/>
        <v>0.2857142857142857</v>
      </c>
      <c r="I65" s="293">
        <v>0</v>
      </c>
      <c r="J65" s="295">
        <f t="shared" si="20"/>
        <v>0</v>
      </c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</row>
    <row r="66" spans="1:21" ht="45">
      <c r="A66" s="293">
        <v>5</v>
      </c>
      <c r="B66" s="293" t="s">
        <v>4</v>
      </c>
      <c r="C66" s="289">
        <v>0</v>
      </c>
      <c r="D66" s="291">
        <f>C66/2</f>
        <v>0</v>
      </c>
      <c r="E66" s="293">
        <v>0</v>
      </c>
      <c r="F66" s="295" t="e">
        <f t="shared" si="18"/>
        <v>#DIV/0!</v>
      </c>
      <c r="G66" s="293">
        <v>0</v>
      </c>
      <c r="H66" s="295" t="e">
        <f t="shared" si="19"/>
        <v>#DIV/0!</v>
      </c>
      <c r="I66" s="293">
        <v>0</v>
      </c>
      <c r="J66" s="295" t="e">
        <f t="shared" si="20"/>
        <v>#DIV/0!</v>
      </c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</row>
    <row r="67" spans="1:21" ht="45">
      <c r="A67" s="293">
        <v>6</v>
      </c>
      <c r="B67" s="293" t="s">
        <v>5</v>
      </c>
      <c r="C67" s="289">
        <v>1</v>
      </c>
      <c r="D67" s="291">
        <f>C67/5</f>
        <v>0.2</v>
      </c>
      <c r="E67" s="293">
        <v>1</v>
      </c>
      <c r="F67" s="295">
        <f t="shared" si="18"/>
        <v>1</v>
      </c>
      <c r="G67" s="293">
        <v>0</v>
      </c>
      <c r="H67" s="295">
        <f t="shared" si="19"/>
        <v>0</v>
      </c>
      <c r="I67" s="293">
        <v>0</v>
      </c>
      <c r="J67" s="295">
        <f t="shared" si="20"/>
        <v>0</v>
      </c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</row>
    <row r="68" spans="1:21" ht="15">
      <c r="A68" s="296"/>
      <c r="B68" s="296" t="s">
        <v>6</v>
      </c>
      <c r="C68" s="290">
        <f>SUM(C62:C67)</f>
        <v>63</v>
      </c>
      <c r="D68" s="292">
        <f>C68/123</f>
        <v>0.5121951219512195</v>
      </c>
      <c r="E68" s="296">
        <f>SUM(E62:E67)</f>
        <v>32</v>
      </c>
      <c r="F68" s="298">
        <f t="shared" si="18"/>
        <v>0.5079365079365079</v>
      </c>
      <c r="G68" s="296">
        <f>SUM(G62:G67)</f>
        <v>30</v>
      </c>
      <c r="H68" s="298">
        <f t="shared" si="19"/>
        <v>0.47619047619047616</v>
      </c>
      <c r="I68" s="296">
        <f>SUM(I62:I67)</f>
        <v>1</v>
      </c>
      <c r="J68" s="298">
        <f t="shared" si="20"/>
        <v>0.015873015873015872</v>
      </c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</row>
    <row r="69" spans="1:21" ht="15">
      <c r="A69" s="296"/>
      <c r="B69" s="296" t="s">
        <v>22</v>
      </c>
      <c r="C69" s="296"/>
      <c r="D69" s="296"/>
      <c r="E69" s="296"/>
      <c r="F69" s="296"/>
      <c r="G69" s="296"/>
      <c r="H69" s="296"/>
      <c r="I69" s="296"/>
      <c r="J69" s="298"/>
      <c r="K69" s="297"/>
      <c r="L69" s="294"/>
      <c r="M69" s="294"/>
      <c r="N69" s="294"/>
      <c r="O69" s="294"/>
      <c r="P69" s="294"/>
      <c r="Q69" s="294"/>
      <c r="R69" s="294"/>
      <c r="S69" s="294"/>
      <c r="T69" s="294"/>
      <c r="U69" s="294"/>
    </row>
    <row r="70" spans="1:21" ht="15">
      <c r="A70" s="300"/>
      <c r="B70" s="300" t="s">
        <v>172</v>
      </c>
      <c r="C70" s="300">
        <v>51</v>
      </c>
      <c r="D70" s="300">
        <v>48</v>
      </c>
      <c r="E70" s="300">
        <v>28</v>
      </c>
      <c r="F70" s="300">
        <v>54.9</v>
      </c>
      <c r="G70" s="300">
        <v>23</v>
      </c>
      <c r="H70" s="300">
        <v>45.1</v>
      </c>
      <c r="I70" s="300">
        <v>0</v>
      </c>
      <c r="J70" s="300">
        <v>0</v>
      </c>
      <c r="K70" s="297"/>
      <c r="L70" s="294"/>
      <c r="M70" s="294"/>
      <c r="N70" s="294"/>
      <c r="O70" s="294"/>
      <c r="P70" s="294"/>
      <c r="Q70" s="294"/>
      <c r="R70" s="294"/>
      <c r="S70" s="294"/>
      <c r="T70" s="294"/>
      <c r="U70" s="294"/>
    </row>
    <row r="71" spans="1:21" ht="15">
      <c r="A71" s="157"/>
      <c r="B71" s="157"/>
      <c r="C71" s="157"/>
      <c r="D71" s="157"/>
      <c r="E71" s="299"/>
      <c r="F71" s="299"/>
      <c r="G71" s="299"/>
      <c r="H71" s="299"/>
      <c r="I71" s="299"/>
      <c r="J71" s="299"/>
      <c r="K71" s="297"/>
      <c r="L71" s="294"/>
      <c r="M71" s="294"/>
      <c r="N71" s="294"/>
      <c r="O71" s="294"/>
      <c r="P71" s="294"/>
      <c r="Q71" s="294"/>
      <c r="R71" s="294"/>
      <c r="S71" s="294"/>
      <c r="T71" s="294"/>
      <c r="U71" s="294"/>
    </row>
    <row r="72" spans="1:21" ht="1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51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ht="15">
      <c r="A73" s="602" t="s">
        <v>291</v>
      </c>
      <c r="B73" s="602"/>
      <c r="C73" s="602"/>
      <c r="D73" s="602"/>
      <c r="E73" s="602"/>
      <c r="F73" s="602"/>
      <c r="G73" s="602"/>
      <c r="H73" s="602"/>
      <c r="I73" s="602"/>
      <c r="J73" s="602"/>
      <c r="K73" s="602"/>
      <c r="M73" s="152"/>
      <c r="N73" s="152"/>
      <c r="O73" s="152"/>
      <c r="P73" s="99"/>
      <c r="Q73" s="99"/>
      <c r="R73" s="99"/>
      <c r="S73" s="99"/>
      <c r="T73" s="152"/>
      <c r="U73" s="152"/>
    </row>
    <row r="74" spans="1:21" ht="90">
      <c r="A74" s="153" t="s">
        <v>30</v>
      </c>
      <c r="B74" s="153" t="s">
        <v>31</v>
      </c>
      <c r="C74" s="153" t="s">
        <v>26</v>
      </c>
      <c r="D74" s="153" t="s">
        <v>23</v>
      </c>
      <c r="E74" s="155" t="s">
        <v>1</v>
      </c>
      <c r="F74" s="153" t="s">
        <v>27</v>
      </c>
      <c r="G74" s="153" t="s">
        <v>28</v>
      </c>
      <c r="H74" s="152" t="s">
        <v>237</v>
      </c>
      <c r="I74" s="152" t="s">
        <v>182</v>
      </c>
      <c r="J74" s="153"/>
      <c r="K74" s="153"/>
      <c r="M74" s="152"/>
      <c r="N74" s="152"/>
      <c r="O74" s="152"/>
      <c r="P74" s="99"/>
      <c r="Q74" s="99"/>
      <c r="R74" s="99"/>
      <c r="S74" s="99"/>
      <c r="T74" s="152"/>
      <c r="U74" s="152"/>
    </row>
    <row r="75" spans="1:21" ht="225">
      <c r="A75" s="153">
        <v>1</v>
      </c>
      <c r="B75" s="151" t="s">
        <v>116</v>
      </c>
      <c r="C75" s="106"/>
      <c r="D75" s="474"/>
      <c r="E75" s="106"/>
      <c r="F75" s="68"/>
      <c r="G75" s="68"/>
      <c r="H75" s="474"/>
      <c r="I75" s="435"/>
      <c r="J75" s="151"/>
      <c r="K75" s="151"/>
      <c r="L75" s="102"/>
      <c r="M75" s="154"/>
      <c r="N75" s="36" t="s">
        <v>32</v>
      </c>
      <c r="O75" s="152"/>
      <c r="P75" s="99"/>
      <c r="Q75" s="99"/>
      <c r="R75" s="99"/>
      <c r="S75" s="99"/>
      <c r="T75" s="152"/>
      <c r="U75" s="152"/>
    </row>
    <row r="76" spans="1:21" ht="225">
      <c r="A76" s="153">
        <v>2</v>
      </c>
      <c r="B76" s="151" t="s">
        <v>116</v>
      </c>
      <c r="C76" s="106"/>
      <c r="D76" s="474"/>
      <c r="E76" s="106"/>
      <c r="F76" s="68"/>
      <c r="G76" s="68"/>
      <c r="H76" s="474"/>
      <c r="I76" s="435"/>
      <c r="J76" s="151"/>
      <c r="K76" s="151"/>
      <c r="L76" s="102"/>
      <c r="M76" s="34"/>
      <c r="N76" s="152" t="s">
        <v>33</v>
      </c>
      <c r="O76" s="152"/>
      <c r="P76" s="99"/>
      <c r="Q76" s="99"/>
      <c r="R76" s="99"/>
      <c r="S76" s="99"/>
      <c r="T76" s="152"/>
      <c r="U76" s="152"/>
    </row>
    <row r="77" spans="1:14" ht="195">
      <c r="A77" s="153">
        <v>3</v>
      </c>
      <c r="B77" s="151" t="s">
        <v>117</v>
      </c>
      <c r="C77" s="106"/>
      <c r="D77" s="474"/>
      <c r="E77" s="106"/>
      <c r="F77" s="68"/>
      <c r="G77" s="68"/>
      <c r="H77" s="474"/>
      <c r="I77" s="435"/>
      <c r="J77" s="108"/>
      <c r="K77" s="151"/>
      <c r="L77" s="102"/>
      <c r="M77" s="152"/>
      <c r="N77" s="152" t="s">
        <v>34</v>
      </c>
    </row>
    <row r="78" spans="1:14" ht="135">
      <c r="A78" s="153">
        <v>4</v>
      </c>
      <c r="B78" s="151" t="s">
        <v>118</v>
      </c>
      <c r="C78" s="106"/>
      <c r="D78" s="474"/>
      <c r="E78" s="106"/>
      <c r="F78" s="68"/>
      <c r="G78" s="68"/>
      <c r="H78" s="474"/>
      <c r="I78" s="435"/>
      <c r="J78" s="108"/>
      <c r="K78" s="151"/>
      <c r="L78" s="102"/>
      <c r="M78" s="152"/>
      <c r="N78" s="152"/>
    </row>
    <row r="79" spans="1:14" ht="90">
      <c r="A79" s="153">
        <v>5</v>
      </c>
      <c r="B79" s="151" t="s">
        <v>119</v>
      </c>
      <c r="C79" s="106"/>
      <c r="D79" s="474"/>
      <c r="E79" s="106"/>
      <c r="F79" s="68"/>
      <c r="G79" s="68"/>
      <c r="H79" s="474"/>
      <c r="I79" s="435"/>
      <c r="J79" s="108"/>
      <c r="K79" s="151"/>
      <c r="L79" s="102"/>
      <c r="M79" s="152"/>
      <c r="N79" s="152"/>
    </row>
    <row r="80" spans="1:14" ht="195">
      <c r="A80" s="153">
        <v>6</v>
      </c>
      <c r="B80" s="151" t="s">
        <v>117</v>
      </c>
      <c r="C80" s="106"/>
      <c r="D80" s="474"/>
      <c r="E80" s="106"/>
      <c r="F80" s="68"/>
      <c r="G80" s="68"/>
      <c r="H80" s="474"/>
      <c r="I80" s="435"/>
      <c r="J80" s="108"/>
      <c r="K80" s="151"/>
      <c r="L80" s="102"/>
      <c r="M80" s="152"/>
      <c r="N80" s="152"/>
    </row>
    <row r="81" spans="1:14" ht="105">
      <c r="A81" s="151">
        <v>7</v>
      </c>
      <c r="B81" s="151" t="s">
        <v>120</v>
      </c>
      <c r="C81" s="106"/>
      <c r="D81" s="474"/>
      <c r="E81" s="106"/>
      <c r="F81" s="68"/>
      <c r="G81" s="68"/>
      <c r="H81" s="474"/>
      <c r="I81" s="435"/>
      <c r="J81" s="106"/>
      <c r="K81" s="151"/>
      <c r="L81" s="102"/>
      <c r="M81" s="152"/>
      <c r="N81" s="152"/>
    </row>
    <row r="82" spans="1:13" ht="195">
      <c r="A82" s="33">
        <v>8</v>
      </c>
      <c r="B82" s="97" t="s">
        <v>117</v>
      </c>
      <c r="C82" s="106"/>
      <c r="D82" s="474"/>
      <c r="E82" s="106"/>
      <c r="F82" s="68"/>
      <c r="G82" s="68"/>
      <c r="H82" s="474"/>
      <c r="I82" s="435"/>
      <c r="J82" s="97"/>
      <c r="K82" s="97"/>
      <c r="L82" s="102"/>
      <c r="M82" s="32"/>
    </row>
    <row r="83" spans="1:13" ht="90">
      <c r="A83" s="33">
        <v>9</v>
      </c>
      <c r="B83" s="97" t="s">
        <v>121</v>
      </c>
      <c r="C83" s="106"/>
      <c r="D83" s="474"/>
      <c r="E83" s="106"/>
      <c r="F83" s="68"/>
      <c r="G83" s="68"/>
      <c r="H83" s="474"/>
      <c r="I83" s="435"/>
      <c r="J83" s="97"/>
      <c r="K83" s="97"/>
      <c r="L83" s="102"/>
      <c r="M83" s="32"/>
    </row>
    <row r="84" spans="1:13" ht="225">
      <c r="A84" s="33">
        <v>10</v>
      </c>
      <c r="B84" s="97" t="s">
        <v>116</v>
      </c>
      <c r="C84" s="106"/>
      <c r="D84" s="474"/>
      <c r="E84" s="106"/>
      <c r="F84" s="68"/>
      <c r="G84" s="68"/>
      <c r="H84" s="474"/>
      <c r="I84" s="435"/>
      <c r="J84" s="97"/>
      <c r="K84" s="97"/>
      <c r="L84" s="102"/>
      <c r="M84" s="32"/>
    </row>
    <row r="85" spans="1:13" ht="135">
      <c r="A85" s="33">
        <v>11</v>
      </c>
      <c r="B85" s="97" t="s">
        <v>118</v>
      </c>
      <c r="C85" s="106"/>
      <c r="D85" s="474"/>
      <c r="E85" s="106"/>
      <c r="F85" s="68"/>
      <c r="G85" s="68"/>
      <c r="H85" s="474"/>
      <c r="I85" s="435"/>
      <c r="J85" s="97"/>
      <c r="K85" s="97"/>
      <c r="L85" s="102"/>
      <c r="M85" s="32"/>
    </row>
    <row r="86" spans="1:13" ht="105">
      <c r="A86" s="33">
        <v>12</v>
      </c>
      <c r="B86" s="97" t="s">
        <v>120</v>
      </c>
      <c r="C86" s="106"/>
      <c r="D86" s="474"/>
      <c r="E86" s="106"/>
      <c r="F86" s="68"/>
      <c r="G86" s="68"/>
      <c r="H86" s="474"/>
      <c r="I86" s="435"/>
      <c r="J86" s="108"/>
      <c r="K86" s="97"/>
      <c r="L86" s="102"/>
      <c r="M86" s="32"/>
    </row>
    <row r="87" spans="1:13" ht="90">
      <c r="A87" s="33">
        <v>13</v>
      </c>
      <c r="B87" s="97" t="s">
        <v>119</v>
      </c>
      <c r="C87" s="106"/>
      <c r="D87" s="474"/>
      <c r="E87" s="106"/>
      <c r="F87" s="68"/>
      <c r="G87" s="68"/>
      <c r="H87" s="474"/>
      <c r="I87" s="435"/>
      <c r="J87" s="97"/>
      <c r="K87" s="97"/>
      <c r="L87" s="102"/>
      <c r="M87" s="32"/>
    </row>
    <row r="88" spans="1:13" ht="195">
      <c r="A88" s="33">
        <v>14</v>
      </c>
      <c r="B88" s="97" t="s">
        <v>117</v>
      </c>
      <c r="C88" s="106"/>
      <c r="D88" s="474"/>
      <c r="E88" s="106"/>
      <c r="F88" s="68"/>
      <c r="G88" s="68"/>
      <c r="H88" s="474"/>
      <c r="I88" s="435"/>
      <c r="J88" s="108"/>
      <c r="K88" s="97"/>
      <c r="L88" s="102"/>
      <c r="M88" s="32"/>
    </row>
    <row r="89" spans="1:13" ht="90">
      <c r="A89" s="33">
        <v>15</v>
      </c>
      <c r="B89" s="97" t="s">
        <v>119</v>
      </c>
      <c r="C89" s="106"/>
      <c r="D89" s="474"/>
      <c r="E89" s="106"/>
      <c r="F89" s="68"/>
      <c r="G89" s="68"/>
      <c r="H89" s="474"/>
      <c r="I89" s="435"/>
      <c r="J89" s="97"/>
      <c r="K89" s="97"/>
      <c r="L89" s="102"/>
      <c r="M89" s="32"/>
    </row>
    <row r="90" spans="1:13" ht="195">
      <c r="A90" s="33">
        <v>16</v>
      </c>
      <c r="B90" s="97" t="s">
        <v>117</v>
      </c>
      <c r="C90" s="106"/>
      <c r="D90" s="474"/>
      <c r="E90" s="106"/>
      <c r="F90" s="68"/>
      <c r="G90" s="68"/>
      <c r="H90" s="474"/>
      <c r="I90" s="435"/>
      <c r="J90" s="97"/>
      <c r="K90" s="97"/>
      <c r="L90" s="102"/>
      <c r="M90" s="32"/>
    </row>
    <row r="91" spans="1:13" ht="225">
      <c r="A91" s="33">
        <v>17</v>
      </c>
      <c r="B91" s="97" t="s">
        <v>116</v>
      </c>
      <c r="C91" s="106"/>
      <c r="D91" s="474"/>
      <c r="E91" s="106"/>
      <c r="F91" s="68"/>
      <c r="G91" s="68"/>
      <c r="H91" s="474"/>
      <c r="I91" s="435"/>
      <c r="J91" s="97"/>
      <c r="K91" s="97"/>
      <c r="L91" s="102"/>
      <c r="M91" s="32"/>
    </row>
    <row r="92" spans="1:13" ht="90">
      <c r="A92" s="33">
        <v>18</v>
      </c>
      <c r="B92" s="97" t="s">
        <v>119</v>
      </c>
      <c r="C92" s="106"/>
      <c r="D92" s="474"/>
      <c r="E92" s="106"/>
      <c r="F92" s="68"/>
      <c r="G92" s="68"/>
      <c r="H92" s="474"/>
      <c r="I92" s="435"/>
      <c r="J92" s="97"/>
      <c r="K92" s="97"/>
      <c r="L92" s="102"/>
      <c r="M92" s="32"/>
    </row>
    <row r="93" spans="1:13" ht="135">
      <c r="A93" s="33">
        <v>19</v>
      </c>
      <c r="B93" s="97" t="s">
        <v>118</v>
      </c>
      <c r="C93" s="106"/>
      <c r="D93" s="474"/>
      <c r="E93" s="106"/>
      <c r="F93" s="68"/>
      <c r="G93" s="68"/>
      <c r="H93" s="474"/>
      <c r="I93" s="435"/>
      <c r="J93" s="97"/>
      <c r="K93" s="97"/>
      <c r="L93" s="102"/>
      <c r="M93" s="32"/>
    </row>
    <row r="94" spans="1:13" ht="31.5">
      <c r="A94" s="33"/>
      <c r="B94" s="97"/>
      <c r="C94" s="39"/>
      <c r="D94" s="474"/>
      <c r="E94" s="68"/>
      <c r="F94" s="68"/>
      <c r="G94" s="68"/>
      <c r="H94" s="474"/>
      <c r="I94" s="97"/>
      <c r="J94" s="97"/>
      <c r="K94" s="97"/>
      <c r="L94" s="102"/>
      <c r="M94" s="32"/>
    </row>
    <row r="95" spans="1:13" ht="31.5">
      <c r="A95" s="33"/>
      <c r="B95" s="97"/>
      <c r="C95" s="39"/>
      <c r="D95" s="97"/>
      <c r="E95" s="68"/>
      <c r="F95" s="68"/>
      <c r="G95" s="68"/>
      <c r="H95" s="97"/>
      <c r="I95" s="97"/>
      <c r="J95" s="38"/>
      <c r="K95" s="97"/>
      <c r="L95" s="102"/>
      <c r="M95" s="32"/>
    </row>
    <row r="96" spans="1:13" ht="31.5">
      <c r="A96" s="33"/>
      <c r="B96" s="97"/>
      <c r="C96" s="39"/>
      <c r="D96" s="97"/>
      <c r="E96" s="68"/>
      <c r="F96" s="68"/>
      <c r="G96" s="68"/>
      <c r="H96" s="97"/>
      <c r="I96" s="97"/>
      <c r="J96" s="97"/>
      <c r="K96" s="97"/>
      <c r="L96" s="102"/>
      <c r="M96" s="32"/>
    </row>
    <row r="97" spans="1:13" ht="31.5">
      <c r="A97" s="33"/>
      <c r="B97" s="97"/>
      <c r="C97" s="39"/>
      <c r="D97" s="97"/>
      <c r="E97" s="68"/>
      <c r="F97" s="68"/>
      <c r="G97" s="68"/>
      <c r="H97" s="97"/>
      <c r="I97" s="97"/>
      <c r="J97" s="97"/>
      <c r="K97" s="97"/>
      <c r="L97" s="102"/>
      <c r="M97" s="32"/>
    </row>
    <row r="98" spans="1:13" ht="31.5">
      <c r="A98" s="33">
        <v>24</v>
      </c>
      <c r="B98" s="33"/>
      <c r="C98" s="35"/>
      <c r="D98" s="37"/>
      <c r="E98" s="68"/>
      <c r="F98" s="68"/>
      <c r="G98" s="68"/>
      <c r="H98" s="37"/>
      <c r="I98" s="37"/>
      <c r="J98" s="37"/>
      <c r="K98" s="37"/>
      <c r="M98" s="32"/>
    </row>
  </sheetData>
  <sheetProtection/>
  <mergeCells count="66">
    <mergeCell ref="M6:O6"/>
    <mergeCell ref="P2:Q2"/>
    <mergeCell ref="R2:S2"/>
    <mergeCell ref="T2:U2"/>
    <mergeCell ref="V2:W2"/>
    <mergeCell ref="X2:Y2"/>
    <mergeCell ref="A1:M1"/>
    <mergeCell ref="C2:D2"/>
    <mergeCell ref="E2:E3"/>
    <mergeCell ref="F2:F3"/>
    <mergeCell ref="G2:G3"/>
    <mergeCell ref="H2:I2"/>
    <mergeCell ref="J2:L2"/>
    <mergeCell ref="P39:Q39"/>
    <mergeCell ref="R39:S39"/>
    <mergeCell ref="T39:U39"/>
    <mergeCell ref="M43:O43"/>
    <mergeCell ref="C39:D39"/>
    <mergeCell ref="E39:E40"/>
    <mergeCell ref="F39:F40"/>
    <mergeCell ref="G39:G40"/>
    <mergeCell ref="H39:I39"/>
    <mergeCell ref="J39:L39"/>
    <mergeCell ref="T49:U49"/>
    <mergeCell ref="A59:R59"/>
    <mergeCell ref="G49:G50"/>
    <mergeCell ref="A73:K73"/>
    <mergeCell ref="P49:Q49"/>
    <mergeCell ref="R49:S49"/>
    <mergeCell ref="M53:O53"/>
    <mergeCell ref="C60:D60"/>
    <mergeCell ref="E60:F60"/>
    <mergeCell ref="G60:H60"/>
    <mergeCell ref="I60:J60"/>
    <mergeCell ref="A38:M38"/>
    <mergeCell ref="C49:D49"/>
    <mergeCell ref="E49:E50"/>
    <mergeCell ref="H49:I49"/>
    <mergeCell ref="J49:L49"/>
    <mergeCell ref="F49:F50"/>
    <mergeCell ref="A26:M26"/>
    <mergeCell ref="C27:D27"/>
    <mergeCell ref="E27:E28"/>
    <mergeCell ref="F27:F28"/>
    <mergeCell ref="G27:G28"/>
    <mergeCell ref="H27:I27"/>
    <mergeCell ref="J27:L27"/>
    <mergeCell ref="X27:Y27"/>
    <mergeCell ref="V27:W27"/>
    <mergeCell ref="P27:Q27"/>
    <mergeCell ref="R27:S27"/>
    <mergeCell ref="T27:U27"/>
    <mergeCell ref="M31:O31"/>
    <mergeCell ref="A14:M14"/>
    <mergeCell ref="C15:D15"/>
    <mergeCell ref="E15:E16"/>
    <mergeCell ref="F15:F16"/>
    <mergeCell ref="G15:G16"/>
    <mergeCell ref="H15:I15"/>
    <mergeCell ref="J15:L15"/>
    <mergeCell ref="M19:O19"/>
    <mergeCell ref="P15:Q15"/>
    <mergeCell ref="R15:S15"/>
    <mergeCell ref="T15:U15"/>
    <mergeCell ref="V15:W15"/>
    <mergeCell ref="X15:Y15"/>
  </mergeCells>
  <printOptions/>
  <pageMargins left="0.7" right="0.7" top="0.75" bottom="0.75" header="0.3" footer="0.3"/>
  <pageSetup fitToHeight="1" fitToWidth="1" horizontalDpi="600" verticalDpi="600" orientation="landscape" paperSize="9" scale="29" r:id="rId1"/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66"/>
  <sheetViews>
    <sheetView view="pageBreakPreview" zoomScale="80" zoomScaleSheetLayoutView="80" zoomScalePageLayoutView="0" workbookViewId="0" topLeftCell="A1">
      <selection activeCell="I43" sqref="I43:I62"/>
    </sheetView>
  </sheetViews>
  <sheetFormatPr defaultColWidth="9.140625" defaultRowHeight="15"/>
  <cols>
    <col min="1" max="1" width="9.140625" style="167" customWidth="1"/>
    <col min="2" max="2" width="6.421875" style="1" customWidth="1"/>
    <col min="3" max="3" width="15.28125" style="1" customWidth="1"/>
    <col min="4" max="4" width="12.7109375" style="1" bestFit="1" customWidth="1"/>
    <col min="5" max="5" width="9.28125" style="64" bestFit="1" customWidth="1"/>
    <col min="6" max="6" width="9.28125" style="1" bestFit="1" customWidth="1"/>
    <col min="7" max="7" width="11.7109375" style="1" bestFit="1" customWidth="1"/>
    <col min="8" max="8" width="9.28125" style="1" bestFit="1" customWidth="1"/>
    <col min="9" max="9" width="11.7109375" style="1" bestFit="1" customWidth="1"/>
    <col min="10" max="10" width="9.28125" style="1" bestFit="1" customWidth="1"/>
    <col min="11" max="11" width="11.7109375" style="1" bestFit="1" customWidth="1"/>
    <col min="12" max="13" width="11.7109375" style="55" customWidth="1"/>
    <col min="14" max="14" width="12.7109375" style="1" bestFit="1" customWidth="1"/>
    <col min="15" max="15" width="12.7109375" style="55" customWidth="1"/>
    <col min="16" max="16" width="11.7109375" style="1" bestFit="1" customWidth="1"/>
    <col min="17" max="19" width="9.28125" style="1" hidden="1" customWidth="1"/>
    <col min="20" max="21" width="9.28125" style="1" bestFit="1" customWidth="1"/>
    <col min="22" max="22" width="9.140625" style="1" customWidth="1"/>
    <col min="23" max="23" width="9.421875" style="64" customWidth="1"/>
    <col min="24" max="24" width="5.28125" style="1" customWidth="1"/>
    <col min="25" max="25" width="9.140625" style="1" customWidth="1"/>
    <col min="26" max="26" width="5.140625" style="1" customWidth="1"/>
    <col min="27" max="27" width="9.140625" style="1" customWidth="1"/>
    <col min="28" max="28" width="5.00390625" style="1" customWidth="1"/>
    <col min="29" max="16384" width="9.140625" style="1" customWidth="1"/>
  </cols>
  <sheetData>
    <row r="1" spans="1:23" s="333" customFormat="1" ht="15">
      <c r="A1" s="334"/>
      <c r="B1" s="588" t="s">
        <v>195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334"/>
      <c r="V1" s="334"/>
      <c r="W1" s="64"/>
    </row>
    <row r="2" spans="1:29" s="334" customFormat="1" ht="88.5" customHeight="1">
      <c r="A2" s="629" t="s">
        <v>194</v>
      </c>
      <c r="B2" s="335"/>
      <c r="C2" s="335"/>
      <c r="D2" s="590" t="s">
        <v>7</v>
      </c>
      <c r="E2" s="590"/>
      <c r="F2" s="591" t="s">
        <v>16</v>
      </c>
      <c r="G2" s="624"/>
      <c r="H2" s="591" t="s">
        <v>18</v>
      </c>
      <c r="I2" s="624"/>
      <c r="J2" s="591" t="s">
        <v>19</v>
      </c>
      <c r="K2" s="624"/>
      <c r="L2" s="630" t="s">
        <v>44</v>
      </c>
      <c r="M2" s="628"/>
      <c r="N2" s="592" t="s">
        <v>21</v>
      </c>
      <c r="O2" s="590" t="s">
        <v>20</v>
      </c>
      <c r="P2" s="592" t="s">
        <v>43</v>
      </c>
      <c r="Q2" s="590" t="s">
        <v>13</v>
      </c>
      <c r="R2" s="590"/>
      <c r="S2" s="590"/>
      <c r="T2" s="591" t="s">
        <v>45</v>
      </c>
      <c r="U2" s="624"/>
      <c r="V2" s="627" t="s">
        <v>46</v>
      </c>
      <c r="W2" s="628"/>
      <c r="X2" s="620" t="s">
        <v>222</v>
      </c>
      <c r="Y2" s="620"/>
      <c r="Z2" s="620" t="s">
        <v>223</v>
      </c>
      <c r="AA2" s="620"/>
      <c r="AB2" s="620" t="s">
        <v>224</v>
      </c>
      <c r="AC2" s="620"/>
    </row>
    <row r="3" spans="1:29" s="334" customFormat="1" ht="106.5" customHeight="1">
      <c r="A3" s="603"/>
      <c r="B3" s="335"/>
      <c r="C3" s="335"/>
      <c r="D3" s="335" t="s">
        <v>8</v>
      </c>
      <c r="E3" s="337" t="s">
        <v>11</v>
      </c>
      <c r="F3" s="335" t="s">
        <v>8</v>
      </c>
      <c r="G3" s="335" t="s">
        <v>17</v>
      </c>
      <c r="H3" s="335" t="s">
        <v>8</v>
      </c>
      <c r="I3" s="335" t="s">
        <v>17</v>
      </c>
      <c r="J3" s="335" t="s">
        <v>8</v>
      </c>
      <c r="K3" s="335" t="s">
        <v>17</v>
      </c>
      <c r="L3" s="335" t="s">
        <v>8</v>
      </c>
      <c r="M3" s="335" t="s">
        <v>17</v>
      </c>
      <c r="N3" s="593"/>
      <c r="O3" s="590"/>
      <c r="P3" s="593"/>
      <c r="Q3" s="335" t="s">
        <v>14</v>
      </c>
      <c r="R3" s="335" t="s">
        <v>12</v>
      </c>
      <c r="S3" s="335" t="s">
        <v>15</v>
      </c>
      <c r="T3" s="335" t="s">
        <v>8</v>
      </c>
      <c r="U3" s="335" t="s">
        <v>17</v>
      </c>
      <c r="V3" s="335" t="s">
        <v>8</v>
      </c>
      <c r="W3" s="337" t="s">
        <v>17</v>
      </c>
      <c r="X3" s="426" t="s">
        <v>8</v>
      </c>
      <c r="Y3" s="426" t="s">
        <v>10</v>
      </c>
      <c r="Z3" s="426" t="s">
        <v>8</v>
      </c>
      <c r="AA3" s="426" t="s">
        <v>10</v>
      </c>
      <c r="AB3" s="426" t="s">
        <v>8</v>
      </c>
      <c r="AC3" s="426" t="s">
        <v>10</v>
      </c>
    </row>
    <row r="4" spans="1:30" s="334" customFormat="1" ht="15">
      <c r="A4" s="603"/>
      <c r="B4" s="335">
        <v>1</v>
      </c>
      <c r="C4" s="335" t="s">
        <v>0</v>
      </c>
      <c r="D4" s="335">
        <v>3</v>
      </c>
      <c r="E4" s="337">
        <f>D4/22</f>
        <v>0.13636363636363635</v>
      </c>
      <c r="F4" s="335">
        <v>1</v>
      </c>
      <c r="G4" s="337">
        <f>F4/D4</f>
        <v>0.3333333333333333</v>
      </c>
      <c r="H4" s="335">
        <v>2</v>
      </c>
      <c r="I4" s="337">
        <f>H4/D4</f>
        <v>0.6666666666666666</v>
      </c>
      <c r="J4" s="335">
        <v>0</v>
      </c>
      <c r="K4" s="337">
        <f aca="true" t="shared" si="0" ref="K4:K12">J4/D4</f>
        <v>0</v>
      </c>
      <c r="L4" s="70">
        <v>0</v>
      </c>
      <c r="M4" s="65">
        <f>L4/D4</f>
        <v>0</v>
      </c>
      <c r="N4" s="346">
        <f>(F4*5+H4*4+J4*3+L4*2)/D4</f>
        <v>4.333333333333333</v>
      </c>
      <c r="O4" s="68">
        <f>47/D4</f>
        <v>15.666666666666666</v>
      </c>
      <c r="P4" s="65">
        <f>47/(20*D4)</f>
        <v>0.7833333333333333</v>
      </c>
      <c r="Q4" s="332"/>
      <c r="R4" s="295"/>
      <c r="S4" s="336"/>
      <c r="T4" s="106">
        <v>1</v>
      </c>
      <c r="U4" s="65">
        <f>T4/D4</f>
        <v>0.3333333333333333</v>
      </c>
      <c r="V4" s="332">
        <v>0</v>
      </c>
      <c r="W4" s="65">
        <f>V4/D4</f>
        <v>0</v>
      </c>
      <c r="X4" s="427"/>
      <c r="Y4" s="428">
        <f>X4/D4</f>
        <v>0</v>
      </c>
      <c r="Z4" s="427">
        <v>1</v>
      </c>
      <c r="AA4" s="428">
        <f>Z4/D4</f>
        <v>0.3333333333333333</v>
      </c>
      <c r="AB4" s="427">
        <v>2</v>
      </c>
      <c r="AC4" s="428">
        <f>AB4/D4</f>
        <v>0.6666666666666666</v>
      </c>
      <c r="AD4" s="64"/>
    </row>
    <row r="5" spans="1:30" s="334" customFormat="1" ht="15">
      <c r="A5" s="603"/>
      <c r="B5" s="335">
        <v>2</v>
      </c>
      <c r="C5" s="335" t="s">
        <v>1</v>
      </c>
      <c r="D5" s="335">
        <v>16</v>
      </c>
      <c r="E5" s="337">
        <f>D5/21</f>
        <v>0.7619047619047619</v>
      </c>
      <c r="F5" s="335">
        <v>9</v>
      </c>
      <c r="G5" s="337">
        <f>F5/D5</f>
        <v>0.5625</v>
      </c>
      <c r="H5" s="335">
        <v>7</v>
      </c>
      <c r="I5" s="337">
        <f aca="true" t="shared" si="1" ref="I5:I12">H5/D5</f>
        <v>0.4375</v>
      </c>
      <c r="J5" s="335">
        <v>0</v>
      </c>
      <c r="K5" s="337">
        <f t="shared" si="0"/>
        <v>0</v>
      </c>
      <c r="L5" s="70">
        <v>0</v>
      </c>
      <c r="M5" s="65">
        <f aca="true" t="shared" si="2" ref="M5:M11">L5/D5</f>
        <v>0</v>
      </c>
      <c r="N5" s="346">
        <f>(F5*5+H5*4+J5*3+L5*2)/D5</f>
        <v>4.5625</v>
      </c>
      <c r="O5" s="68">
        <f>269/D5</f>
        <v>16.8125</v>
      </c>
      <c r="P5" s="65">
        <f>269/(20*D5)</f>
        <v>0.840625</v>
      </c>
      <c r="Q5" s="332"/>
      <c r="R5" s="332"/>
      <c r="S5" s="336"/>
      <c r="T5" s="332">
        <v>6</v>
      </c>
      <c r="U5" s="65">
        <f aca="true" t="shared" si="3" ref="U5:U12">T5/D5</f>
        <v>0.375</v>
      </c>
      <c r="V5" s="332">
        <v>1</v>
      </c>
      <c r="W5" s="65">
        <f aca="true" t="shared" si="4" ref="W5:W12">V5/D5</f>
        <v>0.0625</v>
      </c>
      <c r="X5" s="53"/>
      <c r="Y5" s="428">
        <f aca="true" t="shared" si="5" ref="Y5:Y12">X5/D5</f>
        <v>0</v>
      </c>
      <c r="Z5" s="427">
        <v>7</v>
      </c>
      <c r="AA5" s="428">
        <f aca="true" t="shared" si="6" ref="AA5:AA12">Z5/D5</f>
        <v>0.4375</v>
      </c>
      <c r="AB5" s="427">
        <v>9</v>
      </c>
      <c r="AC5" s="428">
        <f aca="true" t="shared" si="7" ref="AC5:AC12">AB5/D5</f>
        <v>0.5625</v>
      </c>
      <c r="AD5" s="64"/>
    </row>
    <row r="6" spans="1:30" s="334" customFormat="1" ht="15">
      <c r="A6" s="603"/>
      <c r="B6" s="335">
        <v>3</v>
      </c>
      <c r="C6" s="335" t="s">
        <v>2</v>
      </c>
      <c r="D6" s="335">
        <v>16</v>
      </c>
      <c r="E6" s="337">
        <f>D6/27</f>
        <v>0.5925925925925926</v>
      </c>
      <c r="F6" s="335">
        <v>9</v>
      </c>
      <c r="G6" s="337">
        <f>F6/D6</f>
        <v>0.5625</v>
      </c>
      <c r="H6" s="335">
        <v>7</v>
      </c>
      <c r="I6" s="337">
        <f t="shared" si="1"/>
        <v>0.4375</v>
      </c>
      <c r="J6" s="335">
        <v>0</v>
      </c>
      <c r="K6" s="337">
        <f t="shared" si="0"/>
        <v>0</v>
      </c>
      <c r="L6" s="70">
        <v>0</v>
      </c>
      <c r="M6" s="65">
        <f t="shared" si="2"/>
        <v>0</v>
      </c>
      <c r="N6" s="346">
        <f>(F6*5+H6*4+J6*3)/D6</f>
        <v>4.5625</v>
      </c>
      <c r="O6" s="68">
        <f>264/D6</f>
        <v>16.5</v>
      </c>
      <c r="P6" s="65">
        <f>264/(20*D6)</f>
        <v>0.825</v>
      </c>
      <c r="Q6" s="332"/>
      <c r="R6" s="295"/>
      <c r="S6" s="336"/>
      <c r="T6" s="332">
        <v>6</v>
      </c>
      <c r="U6" s="65">
        <f t="shared" si="3"/>
        <v>0.375</v>
      </c>
      <c r="V6" s="332">
        <v>3</v>
      </c>
      <c r="W6" s="65">
        <f t="shared" si="4"/>
        <v>0.1875</v>
      </c>
      <c r="X6" s="53"/>
      <c r="Y6" s="428">
        <f t="shared" si="5"/>
        <v>0</v>
      </c>
      <c r="Z6" s="427">
        <v>2</v>
      </c>
      <c r="AA6" s="314">
        <f>Z6/D6</f>
        <v>0.125</v>
      </c>
      <c r="AB6" s="427">
        <v>14</v>
      </c>
      <c r="AC6" s="434">
        <f>AB6/D6</f>
        <v>0.875</v>
      </c>
      <c r="AD6" s="64"/>
    </row>
    <row r="7" spans="1:30" s="334" customFormat="1" ht="15">
      <c r="A7" s="603"/>
      <c r="B7" s="335">
        <v>4</v>
      </c>
      <c r="C7" s="335" t="s">
        <v>3</v>
      </c>
      <c r="D7" s="335">
        <v>15</v>
      </c>
      <c r="E7" s="337">
        <f>D7/26</f>
        <v>0.5769230769230769</v>
      </c>
      <c r="F7" s="335">
        <v>8</v>
      </c>
      <c r="G7" s="337">
        <f aca="true" t="shared" si="8" ref="G7:G12">F7/D7</f>
        <v>0.5333333333333333</v>
      </c>
      <c r="H7" s="335">
        <v>3</v>
      </c>
      <c r="I7" s="337">
        <f t="shared" si="1"/>
        <v>0.2</v>
      </c>
      <c r="J7" s="335">
        <v>4</v>
      </c>
      <c r="K7" s="337">
        <f t="shared" si="0"/>
        <v>0.26666666666666666</v>
      </c>
      <c r="L7" s="70">
        <v>0</v>
      </c>
      <c r="M7" s="65">
        <f t="shared" si="2"/>
        <v>0</v>
      </c>
      <c r="N7" s="346">
        <f>(F7*5+H7*4+J7*3+L7*2)/D7</f>
        <v>4.266666666666667</v>
      </c>
      <c r="O7" s="68">
        <f>229/D7</f>
        <v>15.266666666666667</v>
      </c>
      <c r="P7" s="65">
        <f>229/(20*D7)</f>
        <v>0.7633333333333333</v>
      </c>
      <c r="Q7" s="332"/>
      <c r="R7" s="332"/>
      <c r="S7" s="336"/>
      <c r="T7" s="332">
        <v>5</v>
      </c>
      <c r="U7" s="65">
        <f t="shared" si="3"/>
        <v>0.3333333333333333</v>
      </c>
      <c r="V7" s="332">
        <v>3</v>
      </c>
      <c r="W7" s="65">
        <f t="shared" si="4"/>
        <v>0.2</v>
      </c>
      <c r="X7" s="427"/>
      <c r="Y7" s="428">
        <f t="shared" si="5"/>
        <v>0</v>
      </c>
      <c r="Z7" s="427"/>
      <c r="AA7" s="428">
        <f t="shared" si="6"/>
        <v>0</v>
      </c>
      <c r="AB7" s="427"/>
      <c r="AC7" s="428">
        <f t="shared" si="7"/>
        <v>0</v>
      </c>
      <c r="AD7" s="64"/>
    </row>
    <row r="8" spans="1:30" s="179" customFormat="1" ht="15">
      <c r="A8" s="603"/>
      <c r="B8" s="172"/>
      <c r="C8" s="173" t="s">
        <v>37</v>
      </c>
      <c r="D8" s="172">
        <v>13</v>
      </c>
      <c r="E8" s="174">
        <f>D8/24</f>
        <v>0.5416666666666666</v>
      </c>
      <c r="F8" s="172">
        <v>8</v>
      </c>
      <c r="G8" s="174">
        <f t="shared" si="8"/>
        <v>0.6153846153846154</v>
      </c>
      <c r="H8" s="172">
        <v>3</v>
      </c>
      <c r="I8" s="174">
        <f t="shared" si="1"/>
        <v>0.23076923076923078</v>
      </c>
      <c r="J8" s="172">
        <v>2</v>
      </c>
      <c r="K8" s="174">
        <f t="shared" si="0"/>
        <v>0.15384615384615385</v>
      </c>
      <c r="L8" s="347">
        <v>0</v>
      </c>
      <c r="M8" s="322">
        <f t="shared" si="2"/>
        <v>0</v>
      </c>
      <c r="N8" s="346">
        <f>(F8*5+H8*4+J8*3+L8*2)/D8</f>
        <v>4.461538461538462</v>
      </c>
      <c r="O8" s="348">
        <f>210/D8</f>
        <v>16.153846153846153</v>
      </c>
      <c r="P8" s="322">
        <f>210/(20*D8)</f>
        <v>0.8076923076923077</v>
      </c>
      <c r="Q8" s="215"/>
      <c r="R8" s="215"/>
      <c r="S8" s="349"/>
      <c r="T8" s="215">
        <v>5</v>
      </c>
      <c r="U8" s="322">
        <f t="shared" si="3"/>
        <v>0.38461538461538464</v>
      </c>
      <c r="V8" s="215">
        <v>3</v>
      </c>
      <c r="W8" s="322">
        <f t="shared" si="4"/>
        <v>0.23076923076923078</v>
      </c>
      <c r="X8" s="172">
        <v>2</v>
      </c>
      <c r="Y8" s="428">
        <f t="shared" si="5"/>
        <v>0.15384615384615385</v>
      </c>
      <c r="Z8" s="172">
        <v>4</v>
      </c>
      <c r="AA8" s="428">
        <f t="shared" si="6"/>
        <v>0.3076923076923077</v>
      </c>
      <c r="AB8" s="172">
        <v>7</v>
      </c>
      <c r="AC8" s="428">
        <f t="shared" si="7"/>
        <v>0.5384615384615384</v>
      </c>
      <c r="AD8" s="64"/>
    </row>
    <row r="9" spans="1:30" s="179" customFormat="1" ht="15">
      <c r="A9" s="603"/>
      <c r="B9" s="172"/>
      <c r="C9" s="173" t="s">
        <v>38</v>
      </c>
      <c r="D9" s="172">
        <v>2</v>
      </c>
      <c r="E9" s="174">
        <f>D9/2</f>
        <v>1</v>
      </c>
      <c r="F9" s="172">
        <v>0</v>
      </c>
      <c r="G9" s="174">
        <f t="shared" si="8"/>
        <v>0</v>
      </c>
      <c r="H9" s="172">
        <v>0</v>
      </c>
      <c r="I9" s="174">
        <f t="shared" si="1"/>
        <v>0</v>
      </c>
      <c r="J9" s="172">
        <v>2</v>
      </c>
      <c r="K9" s="174">
        <f t="shared" si="0"/>
        <v>1</v>
      </c>
      <c r="L9" s="347">
        <v>0</v>
      </c>
      <c r="M9" s="322">
        <f t="shared" si="2"/>
        <v>0</v>
      </c>
      <c r="N9" s="346">
        <f>(F9*5+H9*4+J9*3+L9*2)/D9</f>
        <v>3</v>
      </c>
      <c r="O9" s="215">
        <f>19/D9</f>
        <v>9.5</v>
      </c>
      <c r="P9" s="322">
        <f>19/(20*D9)</f>
        <v>0.475</v>
      </c>
      <c r="Q9" s="215"/>
      <c r="R9" s="215"/>
      <c r="S9" s="349"/>
      <c r="T9" s="215">
        <v>0</v>
      </c>
      <c r="U9" s="322">
        <f t="shared" si="3"/>
        <v>0</v>
      </c>
      <c r="V9" s="215">
        <v>0</v>
      </c>
      <c r="W9" s="322">
        <f t="shared" si="4"/>
        <v>0</v>
      </c>
      <c r="X9" s="172"/>
      <c r="Y9" s="428">
        <f t="shared" si="5"/>
        <v>0</v>
      </c>
      <c r="Z9" s="172"/>
      <c r="AA9" s="428">
        <f t="shared" si="6"/>
        <v>0</v>
      </c>
      <c r="AB9" s="172"/>
      <c r="AC9" s="428">
        <f t="shared" si="7"/>
        <v>0</v>
      </c>
      <c r="AD9" s="64"/>
    </row>
    <row r="10" spans="1:30" s="334" customFormat="1" ht="30">
      <c r="A10" s="603"/>
      <c r="B10" s="335">
        <v>5</v>
      </c>
      <c r="C10" s="335" t="s">
        <v>4</v>
      </c>
      <c r="D10" s="335">
        <v>4</v>
      </c>
      <c r="E10" s="337">
        <f>D10/4</f>
        <v>1</v>
      </c>
      <c r="F10" s="335">
        <v>0</v>
      </c>
      <c r="G10" s="337">
        <f t="shared" si="8"/>
        <v>0</v>
      </c>
      <c r="H10" s="335">
        <v>3</v>
      </c>
      <c r="I10" s="337">
        <f t="shared" si="1"/>
        <v>0.75</v>
      </c>
      <c r="J10" s="335">
        <v>1</v>
      </c>
      <c r="K10" s="337">
        <f t="shared" si="0"/>
        <v>0.25</v>
      </c>
      <c r="L10" s="70">
        <v>0</v>
      </c>
      <c r="M10" s="65">
        <f t="shared" si="2"/>
        <v>0</v>
      </c>
      <c r="N10" s="346">
        <f>(F10*5+H10*4+J10*3+L10*2)/D10</f>
        <v>3.75</v>
      </c>
      <c r="O10" s="332">
        <f>50/D10</f>
        <v>12.5</v>
      </c>
      <c r="P10" s="65">
        <f>50/(20*D10)</f>
        <v>0.625</v>
      </c>
      <c r="Q10" s="332"/>
      <c r="R10" s="332"/>
      <c r="S10" s="336"/>
      <c r="T10" s="332">
        <v>0</v>
      </c>
      <c r="U10" s="65">
        <f t="shared" si="3"/>
        <v>0</v>
      </c>
      <c r="V10" s="332">
        <v>0</v>
      </c>
      <c r="W10" s="65">
        <f t="shared" si="4"/>
        <v>0</v>
      </c>
      <c r="X10" s="427"/>
      <c r="Y10" s="428">
        <f t="shared" si="5"/>
        <v>0</v>
      </c>
      <c r="Z10" s="427"/>
      <c r="AA10" s="428">
        <f t="shared" si="6"/>
        <v>0</v>
      </c>
      <c r="AB10" s="427"/>
      <c r="AC10" s="428">
        <f t="shared" si="7"/>
        <v>0</v>
      </c>
      <c r="AD10" s="64"/>
    </row>
    <row r="11" spans="1:30" s="334" customFormat="1" ht="30">
      <c r="A11" s="603"/>
      <c r="B11" s="335">
        <v>6</v>
      </c>
      <c r="C11" s="335" t="s">
        <v>5</v>
      </c>
      <c r="D11" s="335">
        <v>0</v>
      </c>
      <c r="E11" s="337" t="e">
        <f>D11/0</f>
        <v>#DIV/0!</v>
      </c>
      <c r="F11" s="335">
        <v>0</v>
      </c>
      <c r="G11" s="337" t="e">
        <f t="shared" si="8"/>
        <v>#DIV/0!</v>
      </c>
      <c r="H11" s="335">
        <v>0</v>
      </c>
      <c r="I11" s="337" t="e">
        <f t="shared" si="1"/>
        <v>#DIV/0!</v>
      </c>
      <c r="J11" s="335">
        <v>0</v>
      </c>
      <c r="K11" s="337" t="e">
        <f t="shared" si="0"/>
        <v>#DIV/0!</v>
      </c>
      <c r="L11" s="70">
        <v>0</v>
      </c>
      <c r="M11" s="65" t="e">
        <f t="shared" si="2"/>
        <v>#DIV/0!</v>
      </c>
      <c r="N11" s="346" t="e">
        <f>(F11*5+H11*4+J11*3+L11*2)/D11</f>
        <v>#DIV/0!</v>
      </c>
      <c r="O11" s="332" t="e">
        <f>0/D11</f>
        <v>#DIV/0!</v>
      </c>
      <c r="P11" s="65" t="e">
        <f>0/(20*D11)</f>
        <v>#DIV/0!</v>
      </c>
      <c r="Q11" s="332"/>
      <c r="R11" s="332"/>
      <c r="S11" s="336"/>
      <c r="T11" s="332">
        <v>0</v>
      </c>
      <c r="U11" s="65" t="e">
        <f t="shared" si="3"/>
        <v>#DIV/0!</v>
      </c>
      <c r="V11" s="332">
        <v>0</v>
      </c>
      <c r="W11" s="65" t="e">
        <f t="shared" si="4"/>
        <v>#DIV/0!</v>
      </c>
      <c r="X11" s="427"/>
      <c r="Y11" s="428" t="e">
        <f t="shared" si="5"/>
        <v>#DIV/0!</v>
      </c>
      <c r="Z11" s="427"/>
      <c r="AA11" s="428" t="e">
        <f t="shared" si="6"/>
        <v>#DIV/0!</v>
      </c>
      <c r="AB11" s="427"/>
      <c r="AC11" s="428" t="e">
        <f t="shared" si="7"/>
        <v>#DIV/0!</v>
      </c>
      <c r="AD11" s="64"/>
    </row>
    <row r="12" spans="1:30" s="333" customFormat="1" ht="27.75" customHeight="1">
      <c r="A12" s="603"/>
      <c r="B12" s="290"/>
      <c r="C12" s="290" t="s">
        <v>6</v>
      </c>
      <c r="D12" s="290">
        <f>SUM(D4:D7)+D10+D11</f>
        <v>54</v>
      </c>
      <c r="E12" s="13">
        <f>D12/100</f>
        <v>0.54</v>
      </c>
      <c r="F12" s="290">
        <f>F4+F5+F6+F7+F10+F11</f>
        <v>27</v>
      </c>
      <c r="G12" s="13">
        <f t="shared" si="8"/>
        <v>0.5</v>
      </c>
      <c r="H12" s="290">
        <f>H4+H6+H5+H7+H10+H11</f>
        <v>22</v>
      </c>
      <c r="I12" s="13">
        <f t="shared" si="1"/>
        <v>0.4074074074074074</v>
      </c>
      <c r="J12" s="290">
        <f>J4+J5+J6+J7+J10</f>
        <v>5</v>
      </c>
      <c r="K12" s="13">
        <f t="shared" si="0"/>
        <v>0.09259259259259259</v>
      </c>
      <c r="L12" s="269">
        <f>SUM(L4:L11)</f>
        <v>0</v>
      </c>
      <c r="M12" s="83">
        <f>L12/D12</f>
        <v>0</v>
      </c>
      <c r="N12" s="346">
        <f>(F12*5+H12*4+J12*3)/D12</f>
        <v>4.407407407407407</v>
      </c>
      <c r="O12" s="283">
        <f>859/D12</f>
        <v>15.907407407407407</v>
      </c>
      <c r="P12" s="83">
        <f>859/(20*D12)</f>
        <v>0.7953703703703704</v>
      </c>
      <c r="Q12" s="296"/>
      <c r="R12" s="296"/>
      <c r="S12" s="350"/>
      <c r="T12" s="296">
        <f>SUM(T4:T11)-T8-T9</f>
        <v>18</v>
      </c>
      <c r="U12" s="83">
        <f t="shared" si="3"/>
        <v>0.3333333333333333</v>
      </c>
      <c r="V12" s="296">
        <f>SUM(V4:V11)-V8-V9</f>
        <v>7</v>
      </c>
      <c r="W12" s="83">
        <f t="shared" si="4"/>
        <v>0.12962962962962962</v>
      </c>
      <c r="X12" s="430">
        <f>SUM(X4:X11)</f>
        <v>2</v>
      </c>
      <c r="Y12" s="428">
        <f t="shared" si="5"/>
        <v>0.037037037037037035</v>
      </c>
      <c r="Z12" s="430">
        <f>SUM(Z4:Z11)</f>
        <v>14</v>
      </c>
      <c r="AA12" s="428">
        <f t="shared" si="6"/>
        <v>0.25925925925925924</v>
      </c>
      <c r="AB12" s="430">
        <f>SUM(AB4:AB11)</f>
        <v>32</v>
      </c>
      <c r="AC12" s="428">
        <f t="shared" si="7"/>
        <v>0.5925925925925926</v>
      </c>
      <c r="AD12" s="64"/>
    </row>
    <row r="13" spans="1:23" s="333" customFormat="1" ht="15">
      <c r="A13" s="593"/>
      <c r="B13" s="290"/>
      <c r="C13" s="290" t="s">
        <v>22</v>
      </c>
      <c r="D13" s="290"/>
      <c r="E13" s="13"/>
      <c r="F13" s="290"/>
      <c r="G13" s="290"/>
      <c r="H13" s="290"/>
      <c r="I13" s="290"/>
      <c r="J13" s="290"/>
      <c r="K13" s="290"/>
      <c r="L13" s="290"/>
      <c r="M13" s="290"/>
      <c r="N13" s="290"/>
      <c r="O13" s="290">
        <v>15.83</v>
      </c>
      <c r="P13" s="290"/>
      <c r="Q13" s="290"/>
      <c r="R13" s="290"/>
      <c r="S13" s="26"/>
      <c r="T13" s="290"/>
      <c r="U13" s="13"/>
      <c r="V13" s="290"/>
      <c r="W13" s="13"/>
    </row>
    <row r="14" spans="5:23" s="334" customFormat="1" ht="15">
      <c r="E14" s="64"/>
      <c r="W14" s="64"/>
    </row>
    <row r="15" spans="1:23" s="88" customFormat="1" ht="15">
      <c r="A15" s="167"/>
      <c r="B15" s="588" t="s">
        <v>139</v>
      </c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1"/>
      <c r="V15" s="1"/>
      <c r="W15" s="64"/>
    </row>
    <row r="16" spans="1:23" ht="44.25" customHeight="1">
      <c r="A16" s="629" t="s">
        <v>140</v>
      </c>
      <c r="B16" s="168"/>
      <c r="C16" s="168"/>
      <c r="D16" s="590" t="s">
        <v>7</v>
      </c>
      <c r="E16" s="590"/>
      <c r="F16" s="591" t="s">
        <v>16</v>
      </c>
      <c r="G16" s="624"/>
      <c r="H16" s="591" t="s">
        <v>18</v>
      </c>
      <c r="I16" s="624"/>
      <c r="J16" s="591" t="s">
        <v>19</v>
      </c>
      <c r="K16" s="624"/>
      <c r="L16" s="630" t="s">
        <v>44</v>
      </c>
      <c r="M16" s="628"/>
      <c r="N16" s="592" t="s">
        <v>21</v>
      </c>
      <c r="O16" s="590" t="s">
        <v>20</v>
      </c>
      <c r="P16" s="592" t="s">
        <v>43</v>
      </c>
      <c r="Q16" s="590" t="s">
        <v>13</v>
      </c>
      <c r="R16" s="590"/>
      <c r="S16" s="590"/>
      <c r="T16" s="591" t="s">
        <v>45</v>
      </c>
      <c r="U16" s="624"/>
      <c r="V16" s="627" t="s">
        <v>46</v>
      </c>
      <c r="W16" s="628"/>
    </row>
    <row r="17" spans="1:23" ht="106.5" customHeight="1">
      <c r="A17" s="603"/>
      <c r="B17" s="168"/>
      <c r="C17" s="168"/>
      <c r="D17" s="168" t="s">
        <v>8</v>
      </c>
      <c r="E17" s="170" t="s">
        <v>11</v>
      </c>
      <c r="F17" s="168" t="s">
        <v>8</v>
      </c>
      <c r="G17" s="168" t="s">
        <v>17</v>
      </c>
      <c r="H17" s="168" t="s">
        <v>8</v>
      </c>
      <c r="I17" s="168" t="s">
        <v>17</v>
      </c>
      <c r="J17" s="168" t="s">
        <v>8</v>
      </c>
      <c r="K17" s="168" t="s">
        <v>17</v>
      </c>
      <c r="L17" s="168" t="s">
        <v>8</v>
      </c>
      <c r="M17" s="168" t="s">
        <v>17</v>
      </c>
      <c r="N17" s="593"/>
      <c r="O17" s="590"/>
      <c r="P17" s="593"/>
      <c r="Q17" s="168" t="s">
        <v>14</v>
      </c>
      <c r="R17" s="168" t="s">
        <v>12</v>
      </c>
      <c r="S17" s="168" t="s">
        <v>15</v>
      </c>
      <c r="T17" s="168" t="s">
        <v>8</v>
      </c>
      <c r="U17" s="168" t="s">
        <v>17</v>
      </c>
      <c r="V17" s="168" t="s">
        <v>8</v>
      </c>
      <c r="W17" s="170" t="s">
        <v>17</v>
      </c>
    </row>
    <row r="18" spans="1:23" ht="15">
      <c r="A18" s="603"/>
      <c r="B18" s="168">
        <v>1</v>
      </c>
      <c r="C18" s="168" t="s">
        <v>0</v>
      </c>
      <c r="D18" s="168">
        <v>24</v>
      </c>
      <c r="E18" s="170">
        <f>D18/51</f>
        <v>0.47058823529411764</v>
      </c>
      <c r="F18" s="168">
        <v>13</v>
      </c>
      <c r="G18" s="170">
        <f>F18/D18</f>
        <v>0.5416666666666666</v>
      </c>
      <c r="H18" s="168">
        <v>8</v>
      </c>
      <c r="I18" s="170">
        <f>H18/D18</f>
        <v>0.3333333333333333</v>
      </c>
      <c r="J18" s="168">
        <v>3</v>
      </c>
      <c r="K18" s="170">
        <f aca="true" t="shared" si="9" ref="K18:K26">J18/D18</f>
        <v>0.125</v>
      </c>
      <c r="L18" s="53">
        <v>0</v>
      </c>
      <c r="M18" s="170">
        <f>L18/D18</f>
        <v>0</v>
      </c>
      <c r="N18" s="287">
        <f>(F18*5+H18*4+J18*3+L18*2)/D18</f>
        <v>4.416666666666667</v>
      </c>
      <c r="O18" s="285">
        <f>383/D18</f>
        <v>15.958333333333334</v>
      </c>
      <c r="P18" s="170">
        <f>383/(20*D18)</f>
        <v>0.7979166666666667</v>
      </c>
      <c r="Q18" s="168"/>
      <c r="R18" s="8"/>
      <c r="S18" s="169"/>
      <c r="T18" s="225">
        <v>8</v>
      </c>
      <c r="U18" s="170">
        <f>T18/D18</f>
        <v>0.3333333333333333</v>
      </c>
      <c r="V18" s="168">
        <v>3</v>
      </c>
      <c r="W18" s="170">
        <f>V18/D18</f>
        <v>0.125</v>
      </c>
    </row>
    <row r="19" spans="1:24" ht="15">
      <c r="A19" s="603"/>
      <c r="B19" s="168">
        <v>2</v>
      </c>
      <c r="C19" s="168" t="s">
        <v>1</v>
      </c>
      <c r="D19" s="168">
        <v>19</v>
      </c>
      <c r="E19" s="170">
        <f>D19/19</f>
        <v>1</v>
      </c>
      <c r="F19" s="168">
        <v>6</v>
      </c>
      <c r="G19" s="170">
        <f>F19/D19</f>
        <v>0.3157894736842105</v>
      </c>
      <c r="H19" s="168">
        <v>8</v>
      </c>
      <c r="I19" s="170">
        <f aca="true" t="shared" si="10" ref="I19:I26">H19/D19</f>
        <v>0.42105263157894735</v>
      </c>
      <c r="J19" s="168">
        <v>5</v>
      </c>
      <c r="K19" s="170">
        <f t="shared" si="9"/>
        <v>0.2631578947368421</v>
      </c>
      <c r="L19" s="52">
        <v>2</v>
      </c>
      <c r="M19" s="116">
        <f aca="true" t="shared" si="11" ref="M19:M25">L19/D19</f>
        <v>0.10526315789473684</v>
      </c>
      <c r="N19" s="287">
        <f>(F19*5+H19*4+J19*3)/D19</f>
        <v>4.052631578947368</v>
      </c>
      <c r="O19" s="285">
        <f>270/D19</f>
        <v>14.210526315789474</v>
      </c>
      <c r="P19" s="170">
        <f>261/(20*D19)</f>
        <v>0.6868421052631579</v>
      </c>
      <c r="Q19" s="168"/>
      <c r="R19" s="168"/>
      <c r="S19" s="169"/>
      <c r="T19" s="168">
        <v>5</v>
      </c>
      <c r="U19" s="170">
        <f aca="true" t="shared" si="12" ref="U19:U26">T19/D19</f>
        <v>0.2631578947368421</v>
      </c>
      <c r="V19" s="168">
        <v>0</v>
      </c>
      <c r="W19" s="170">
        <f aca="true" t="shared" si="13" ref="W19:W26">V19/D19</f>
        <v>0</v>
      </c>
      <c r="X19" s="71"/>
    </row>
    <row r="20" spans="1:24" ht="15">
      <c r="A20" s="603"/>
      <c r="B20" s="168">
        <v>3</v>
      </c>
      <c r="C20" s="168" t="s">
        <v>2</v>
      </c>
      <c r="D20" s="168">
        <v>21</v>
      </c>
      <c r="E20" s="170">
        <f>D20/26</f>
        <v>0.8076923076923077</v>
      </c>
      <c r="F20" s="168">
        <v>6</v>
      </c>
      <c r="G20" s="170">
        <f>F20/D20</f>
        <v>0.2857142857142857</v>
      </c>
      <c r="H20" s="168">
        <v>9</v>
      </c>
      <c r="I20" s="170">
        <f t="shared" si="10"/>
        <v>0.42857142857142855</v>
      </c>
      <c r="J20" s="168">
        <v>6</v>
      </c>
      <c r="K20" s="170">
        <f t="shared" si="9"/>
        <v>0.2857142857142857</v>
      </c>
      <c r="L20" s="52">
        <v>1</v>
      </c>
      <c r="M20" s="116">
        <f t="shared" si="11"/>
        <v>0.047619047619047616</v>
      </c>
      <c r="N20" s="287">
        <f>(F20*5+H20*4+J20*3)/D20</f>
        <v>4</v>
      </c>
      <c r="O20" s="285">
        <f>293/D20</f>
        <v>13.952380952380953</v>
      </c>
      <c r="P20" s="170">
        <f>291/(20*D20)</f>
        <v>0.6928571428571428</v>
      </c>
      <c r="Q20" s="168"/>
      <c r="R20" s="8"/>
      <c r="S20" s="169"/>
      <c r="T20" s="168">
        <v>5</v>
      </c>
      <c r="U20" s="170">
        <f t="shared" si="12"/>
        <v>0.23809523809523808</v>
      </c>
      <c r="V20" s="168">
        <v>1</v>
      </c>
      <c r="W20" s="170">
        <f t="shared" si="13"/>
        <v>0.047619047619047616</v>
      </c>
      <c r="X20" s="71"/>
    </row>
    <row r="21" spans="1:23" ht="15">
      <c r="A21" s="603"/>
      <c r="B21" s="168">
        <v>4</v>
      </c>
      <c r="C21" s="168" t="s">
        <v>3</v>
      </c>
      <c r="D21" s="168">
        <v>25</v>
      </c>
      <c r="E21" s="170">
        <f>D21/25</f>
        <v>1</v>
      </c>
      <c r="F21" s="168">
        <v>5</v>
      </c>
      <c r="G21" s="170">
        <f aca="true" t="shared" si="14" ref="G21:G26">F21/D21</f>
        <v>0.2</v>
      </c>
      <c r="H21" s="168">
        <v>12</v>
      </c>
      <c r="I21" s="170">
        <f t="shared" si="10"/>
        <v>0.48</v>
      </c>
      <c r="J21" s="168">
        <v>8</v>
      </c>
      <c r="K21" s="170">
        <f t="shared" si="9"/>
        <v>0.32</v>
      </c>
      <c r="L21" s="53">
        <v>0</v>
      </c>
      <c r="M21" s="170">
        <f t="shared" si="11"/>
        <v>0</v>
      </c>
      <c r="N21" s="283">
        <f>(F21*5+H21*4+J21*3+L21*2)/D21</f>
        <v>3.88</v>
      </c>
      <c r="O21" s="284">
        <f>335/D21</f>
        <v>13.4</v>
      </c>
      <c r="P21" s="170">
        <f>335/(20*D21)</f>
        <v>0.67</v>
      </c>
      <c r="Q21" s="168"/>
      <c r="R21" s="168"/>
      <c r="S21" s="169"/>
      <c r="T21" s="168">
        <v>2</v>
      </c>
      <c r="U21" s="170">
        <f t="shared" si="12"/>
        <v>0.08</v>
      </c>
      <c r="V21" s="168">
        <v>1</v>
      </c>
      <c r="W21" s="170">
        <f t="shared" si="13"/>
        <v>0.04</v>
      </c>
    </row>
    <row r="22" spans="1:23" s="179" customFormat="1" ht="15">
      <c r="A22" s="603"/>
      <c r="B22" s="172"/>
      <c r="C22" s="173" t="s">
        <v>37</v>
      </c>
      <c r="D22" s="172">
        <v>21</v>
      </c>
      <c r="E22" s="174">
        <f>D22/21</f>
        <v>1</v>
      </c>
      <c r="F22" s="172">
        <v>5</v>
      </c>
      <c r="G22" s="174">
        <f t="shared" si="14"/>
        <v>0.23809523809523808</v>
      </c>
      <c r="H22" s="172">
        <v>12</v>
      </c>
      <c r="I22" s="174">
        <f t="shared" si="10"/>
        <v>0.5714285714285714</v>
      </c>
      <c r="J22" s="172">
        <v>4</v>
      </c>
      <c r="K22" s="174">
        <f t="shared" si="9"/>
        <v>0.19047619047619047</v>
      </c>
      <c r="L22" s="175">
        <v>0</v>
      </c>
      <c r="M22" s="174">
        <f t="shared" si="11"/>
        <v>0</v>
      </c>
      <c r="N22" s="283">
        <f>(F22*5+H22*4+J22*3+L22*2)/D22</f>
        <v>4.0476190476190474</v>
      </c>
      <c r="O22" s="286">
        <f>301/D22</f>
        <v>14.333333333333334</v>
      </c>
      <c r="P22" s="322">
        <f>301/(20*D22)</f>
        <v>0.7166666666666667</v>
      </c>
      <c r="Q22" s="172"/>
      <c r="R22" s="172"/>
      <c r="S22" s="178"/>
      <c r="T22" s="172">
        <v>2</v>
      </c>
      <c r="U22" s="174">
        <f t="shared" si="12"/>
        <v>0.09523809523809523</v>
      </c>
      <c r="V22" s="172">
        <v>1</v>
      </c>
      <c r="W22" s="174">
        <f t="shared" si="13"/>
        <v>0.047619047619047616</v>
      </c>
    </row>
    <row r="23" spans="1:23" s="179" customFormat="1" ht="15">
      <c r="A23" s="603"/>
      <c r="B23" s="172"/>
      <c r="C23" s="173" t="s">
        <v>38</v>
      </c>
      <c r="D23" s="172">
        <v>4</v>
      </c>
      <c r="E23" s="174">
        <f>D23/4</f>
        <v>1</v>
      </c>
      <c r="F23" s="172">
        <v>0</v>
      </c>
      <c r="G23" s="174">
        <f t="shared" si="14"/>
        <v>0</v>
      </c>
      <c r="H23" s="172">
        <v>0</v>
      </c>
      <c r="I23" s="174">
        <f t="shared" si="10"/>
        <v>0</v>
      </c>
      <c r="J23" s="172">
        <v>4</v>
      </c>
      <c r="K23" s="174">
        <f t="shared" si="9"/>
        <v>1</v>
      </c>
      <c r="L23" s="175">
        <v>0</v>
      </c>
      <c r="M23" s="174">
        <f t="shared" si="11"/>
        <v>0</v>
      </c>
      <c r="N23" s="283">
        <f>(F23*5+H23*4+J23*3+L23*2)/D23</f>
        <v>3</v>
      </c>
      <c r="O23" s="172">
        <f>34/D23</f>
        <v>8.5</v>
      </c>
      <c r="P23" s="322">
        <f>34/(20*D23)</f>
        <v>0.425</v>
      </c>
      <c r="Q23" s="172"/>
      <c r="R23" s="172"/>
      <c r="S23" s="178"/>
      <c r="T23" s="172">
        <v>0</v>
      </c>
      <c r="U23" s="174">
        <f t="shared" si="12"/>
        <v>0</v>
      </c>
      <c r="V23" s="172">
        <v>0</v>
      </c>
      <c r="W23" s="174">
        <f t="shared" si="13"/>
        <v>0</v>
      </c>
    </row>
    <row r="24" spans="1:23" s="55" customFormat="1" ht="30">
      <c r="A24" s="603"/>
      <c r="B24" s="168">
        <v>5</v>
      </c>
      <c r="C24" s="168" t="s">
        <v>4</v>
      </c>
      <c r="D24" s="168">
        <v>0</v>
      </c>
      <c r="E24" s="170">
        <f>D24/2</f>
        <v>0</v>
      </c>
      <c r="F24" s="168">
        <v>0</v>
      </c>
      <c r="G24" s="170" t="e">
        <f t="shared" si="14"/>
        <v>#DIV/0!</v>
      </c>
      <c r="H24" s="168">
        <v>0</v>
      </c>
      <c r="I24" s="170" t="e">
        <f t="shared" si="10"/>
        <v>#DIV/0!</v>
      </c>
      <c r="J24" s="168">
        <v>0</v>
      </c>
      <c r="K24" s="170" t="e">
        <f t="shared" si="9"/>
        <v>#DIV/0!</v>
      </c>
      <c r="L24" s="53">
        <v>0</v>
      </c>
      <c r="M24" s="170" t="e">
        <f t="shared" si="11"/>
        <v>#DIV/0!</v>
      </c>
      <c r="N24" s="21" t="e">
        <f>(F24*5+H24*4+J24*3+L24*2)/D24</f>
        <v>#DIV/0!</v>
      </c>
      <c r="O24" s="168" t="e">
        <f>(20+14)/D24</f>
        <v>#DIV/0!</v>
      </c>
      <c r="P24" s="170" t="e">
        <f>(20+14)/(20*D24)</f>
        <v>#DIV/0!</v>
      </c>
      <c r="Q24" s="168"/>
      <c r="R24" s="168"/>
      <c r="S24" s="169"/>
      <c r="T24" s="168">
        <v>0</v>
      </c>
      <c r="U24" s="170" t="e">
        <f t="shared" si="12"/>
        <v>#DIV/0!</v>
      </c>
      <c r="V24" s="168">
        <v>0</v>
      </c>
      <c r="W24" s="170" t="e">
        <f t="shared" si="13"/>
        <v>#DIV/0!</v>
      </c>
    </row>
    <row r="25" spans="1:23" ht="30">
      <c r="A25" s="603"/>
      <c r="B25" s="168">
        <v>6</v>
      </c>
      <c r="C25" s="168" t="s">
        <v>5</v>
      </c>
      <c r="D25" s="168">
        <v>1</v>
      </c>
      <c r="E25" s="170">
        <f>D25/5</f>
        <v>0.2</v>
      </c>
      <c r="F25" s="168">
        <v>1</v>
      </c>
      <c r="G25" s="170">
        <f t="shared" si="14"/>
        <v>1</v>
      </c>
      <c r="H25" s="168">
        <v>0</v>
      </c>
      <c r="I25" s="170">
        <f t="shared" si="10"/>
        <v>0</v>
      </c>
      <c r="J25" s="168">
        <v>0</v>
      </c>
      <c r="K25" s="170">
        <f t="shared" si="9"/>
        <v>0</v>
      </c>
      <c r="L25" s="53">
        <v>0</v>
      </c>
      <c r="M25" s="170">
        <f t="shared" si="11"/>
        <v>0</v>
      </c>
      <c r="N25" s="283">
        <f>(F25*5+H25*4+J25*3+L25*2)/D25</f>
        <v>5</v>
      </c>
      <c r="O25" s="121">
        <f>17/D25</f>
        <v>17</v>
      </c>
      <c r="P25" s="170">
        <f>17/(20*D25)</f>
        <v>0.85</v>
      </c>
      <c r="Q25" s="168"/>
      <c r="R25" s="168"/>
      <c r="S25" s="169"/>
      <c r="T25" s="168">
        <v>0</v>
      </c>
      <c r="U25" s="170">
        <f t="shared" si="12"/>
        <v>0</v>
      </c>
      <c r="V25" s="168">
        <v>0</v>
      </c>
      <c r="W25" s="170">
        <f t="shared" si="13"/>
        <v>0</v>
      </c>
    </row>
    <row r="26" spans="1:23" s="166" customFormat="1" ht="27.75" customHeight="1">
      <c r="A26" s="603"/>
      <c r="B26" s="6"/>
      <c r="C26" s="6" t="s">
        <v>6</v>
      </c>
      <c r="D26" s="6">
        <f>SUM(D18:D21)+D24+D25</f>
        <v>90</v>
      </c>
      <c r="E26" s="13">
        <f>D26/123</f>
        <v>0.7317073170731707</v>
      </c>
      <c r="F26" s="6">
        <f>F18+F19+F20+F21+F24+F25</f>
        <v>31</v>
      </c>
      <c r="G26" s="13">
        <f t="shared" si="14"/>
        <v>0.34444444444444444</v>
      </c>
      <c r="H26" s="6">
        <f>H18+H20+H19+H21+H24+H25</f>
        <v>37</v>
      </c>
      <c r="I26" s="13">
        <f t="shared" si="10"/>
        <v>0.4111111111111111</v>
      </c>
      <c r="J26" s="6">
        <f>J18+J19+J20+J21+J24</f>
        <v>22</v>
      </c>
      <c r="K26" s="13">
        <f t="shared" si="9"/>
        <v>0.24444444444444444</v>
      </c>
      <c r="L26" s="54">
        <f>SUM(L18:L25)</f>
        <v>3</v>
      </c>
      <c r="M26" s="13">
        <f>L26/D26</f>
        <v>0.03333333333333333</v>
      </c>
      <c r="N26" s="287">
        <f>(F26*5+H26*4+J26*3)/D26</f>
        <v>4.1</v>
      </c>
      <c r="O26" s="287">
        <f>1298/D26</f>
        <v>14.422222222222222</v>
      </c>
      <c r="P26" s="13">
        <f>1298/(20*D26)</f>
        <v>0.7211111111111111</v>
      </c>
      <c r="Q26" s="6"/>
      <c r="R26" s="6"/>
      <c r="S26" s="26"/>
      <c r="T26" s="281">
        <f>SUM(T18:T25)-T22-T23</f>
        <v>20</v>
      </c>
      <c r="U26" s="301">
        <f t="shared" si="12"/>
        <v>0.2222222222222222</v>
      </c>
      <c r="V26" s="281">
        <f>SUM(V18:V25)-V22-V23</f>
        <v>5</v>
      </c>
      <c r="W26" s="301">
        <f t="shared" si="13"/>
        <v>0.05555555555555555</v>
      </c>
    </row>
    <row r="27" spans="1:23" s="2" customFormat="1" ht="15">
      <c r="A27" s="593"/>
      <c r="B27" s="6"/>
      <c r="C27" s="6" t="s">
        <v>22</v>
      </c>
      <c r="D27" s="6"/>
      <c r="E27" s="13"/>
      <c r="F27" s="6"/>
      <c r="G27" s="6"/>
      <c r="H27" s="6"/>
      <c r="I27" s="6"/>
      <c r="J27" s="6"/>
      <c r="K27" s="6"/>
      <c r="L27" s="6"/>
      <c r="M27" s="6"/>
      <c r="N27" s="6">
        <v>4.34</v>
      </c>
      <c r="O27" s="6"/>
      <c r="P27" s="6"/>
      <c r="Q27" s="6"/>
      <c r="R27" s="6"/>
      <c r="S27" s="26"/>
      <c r="T27" s="6"/>
      <c r="U27" s="13"/>
      <c r="V27" s="6"/>
      <c r="W27" s="13"/>
    </row>
    <row r="28" spans="1:23" ht="15">
      <c r="A28" s="605" t="s">
        <v>138</v>
      </c>
      <c r="B28" s="5"/>
      <c r="C28" s="5"/>
      <c r="D28" s="590" t="s">
        <v>7</v>
      </c>
      <c r="E28" s="590"/>
      <c r="F28" s="591" t="s">
        <v>16</v>
      </c>
      <c r="G28" s="624"/>
      <c r="H28" s="591" t="s">
        <v>18</v>
      </c>
      <c r="I28" s="624"/>
      <c r="J28" s="591" t="s">
        <v>19</v>
      </c>
      <c r="K28" s="624"/>
      <c r="L28" s="630" t="s">
        <v>44</v>
      </c>
      <c r="M28" s="628"/>
      <c r="N28" s="592" t="s">
        <v>21</v>
      </c>
      <c r="O28" s="590" t="s">
        <v>20</v>
      </c>
      <c r="P28" s="603" t="s">
        <v>43</v>
      </c>
      <c r="Q28" s="590" t="s">
        <v>13</v>
      </c>
      <c r="R28" s="590"/>
      <c r="S28" s="590"/>
      <c r="T28" s="591" t="s">
        <v>45</v>
      </c>
      <c r="U28" s="624"/>
      <c r="V28" s="589" t="s">
        <v>46</v>
      </c>
      <c r="W28" s="589"/>
    </row>
    <row r="29" spans="1:23" ht="90" customHeight="1">
      <c r="A29" s="603"/>
      <c r="B29" s="5"/>
      <c r="C29" s="5"/>
      <c r="D29" s="5" t="s">
        <v>8</v>
      </c>
      <c r="E29" s="12" t="s">
        <v>11</v>
      </c>
      <c r="F29" s="5" t="s">
        <v>8</v>
      </c>
      <c r="G29" s="5" t="s">
        <v>17</v>
      </c>
      <c r="H29" s="5" t="s">
        <v>8</v>
      </c>
      <c r="I29" s="5" t="s">
        <v>17</v>
      </c>
      <c r="J29" s="5" t="s">
        <v>8</v>
      </c>
      <c r="K29" s="5" t="s">
        <v>17</v>
      </c>
      <c r="L29" s="56" t="s">
        <v>8</v>
      </c>
      <c r="M29" s="56" t="s">
        <v>17</v>
      </c>
      <c r="N29" s="593"/>
      <c r="O29" s="590"/>
      <c r="P29" s="593"/>
      <c r="Q29" s="5" t="s">
        <v>14</v>
      </c>
      <c r="R29" s="5" t="s">
        <v>12</v>
      </c>
      <c r="S29" s="5" t="s">
        <v>15</v>
      </c>
      <c r="T29" s="56" t="s">
        <v>8</v>
      </c>
      <c r="U29" s="56" t="s">
        <v>17</v>
      </c>
      <c r="V29" s="56" t="s">
        <v>8</v>
      </c>
      <c r="W29" s="12" t="s">
        <v>17</v>
      </c>
    </row>
    <row r="30" spans="1:23" ht="15">
      <c r="A30" s="603"/>
      <c r="B30" s="5">
        <v>1</v>
      </c>
      <c r="C30" s="5" t="s">
        <v>0</v>
      </c>
      <c r="D30" s="5">
        <v>14</v>
      </c>
      <c r="E30" s="12">
        <f>D30/25</f>
        <v>0.56</v>
      </c>
      <c r="F30" s="5">
        <v>7</v>
      </c>
      <c r="G30" s="12">
        <f>F30/D30</f>
        <v>0.5</v>
      </c>
      <c r="H30" s="5">
        <v>7</v>
      </c>
      <c r="I30" s="12">
        <f>H30/D30</f>
        <v>0.5</v>
      </c>
      <c r="J30" s="5">
        <v>0</v>
      </c>
      <c r="K30" s="12">
        <f aca="true" t="shared" si="15" ref="K30:K38">J30/D30</f>
        <v>0</v>
      </c>
      <c r="L30" s="53">
        <v>0</v>
      </c>
      <c r="M30" s="12">
        <f>L30/D30</f>
        <v>0</v>
      </c>
      <c r="N30" s="21">
        <f aca="true" t="shared" si="16" ref="N30:N37">(F30*5+H30*4+J30*3)/D30</f>
        <v>4.5</v>
      </c>
      <c r="O30" s="56">
        <f>(16+18+17+16+19+20+12+15+16+18+16+12+19+17)/D30</f>
        <v>16.5</v>
      </c>
      <c r="P30" s="128">
        <f>(16+18+17+16+19+20+12+15+16+18+16+12+19+17)/(20*D30)</f>
        <v>0.825</v>
      </c>
      <c r="Q30" s="5"/>
      <c r="R30" s="8"/>
      <c r="S30" s="57"/>
      <c r="T30" s="56">
        <v>4</v>
      </c>
      <c r="U30" s="12">
        <f>T30/D30</f>
        <v>0.2857142857142857</v>
      </c>
      <c r="V30" s="56">
        <v>1</v>
      </c>
      <c r="W30" s="12">
        <f>V30/D30</f>
        <v>0.07142857142857142</v>
      </c>
    </row>
    <row r="31" spans="1:23" ht="15">
      <c r="A31" s="603"/>
      <c r="B31" s="5">
        <v>2</v>
      </c>
      <c r="C31" s="5" t="s">
        <v>1</v>
      </c>
      <c r="D31" s="5">
        <v>16</v>
      </c>
      <c r="E31" s="12">
        <f>D31/20</f>
        <v>0.8</v>
      </c>
      <c r="F31" s="5">
        <v>8</v>
      </c>
      <c r="G31" s="12">
        <f aca="true" t="shared" si="17" ref="G31:G38">F31/D31</f>
        <v>0.5</v>
      </c>
      <c r="H31" s="5">
        <v>5</v>
      </c>
      <c r="I31" s="12">
        <f aca="true" t="shared" si="18" ref="I31:I38">H31/D31</f>
        <v>0.3125</v>
      </c>
      <c r="J31" s="5">
        <v>3</v>
      </c>
      <c r="K31" s="12">
        <f t="shared" si="15"/>
        <v>0.1875</v>
      </c>
      <c r="L31" s="53">
        <v>0</v>
      </c>
      <c r="M31" s="12">
        <f aca="true" t="shared" si="19" ref="M31:M37">L31/D31</f>
        <v>0</v>
      </c>
      <c r="N31" s="21">
        <f t="shared" si="16"/>
        <v>4.3125</v>
      </c>
      <c r="O31" s="20">
        <f>(20+19+17+12+18+19+16+13+19+11+11+19+16+17+9+16)/D31</f>
        <v>15.75</v>
      </c>
      <c r="P31" s="128">
        <f>(20+19+17+12+18+19+16+13+19+11+11+19+16+17+9+16)/(20*D31)</f>
        <v>0.7875</v>
      </c>
      <c r="Q31" s="5"/>
      <c r="R31" s="5"/>
      <c r="S31" s="57"/>
      <c r="T31" s="56">
        <v>5</v>
      </c>
      <c r="U31" s="12">
        <f aca="true" t="shared" si="20" ref="U31:U38">T31/D31</f>
        <v>0.3125</v>
      </c>
      <c r="V31" s="56">
        <v>1</v>
      </c>
      <c r="W31" s="12">
        <f aca="true" t="shared" si="21" ref="W31:W38">V31/D31</f>
        <v>0.0625</v>
      </c>
    </row>
    <row r="32" spans="1:23" ht="15">
      <c r="A32" s="603"/>
      <c r="B32" s="5">
        <v>3</v>
      </c>
      <c r="C32" s="5" t="s">
        <v>2</v>
      </c>
      <c r="D32" s="5">
        <v>19</v>
      </c>
      <c r="E32" s="12">
        <f>D32/27</f>
        <v>0.7037037037037037</v>
      </c>
      <c r="F32" s="5">
        <v>7</v>
      </c>
      <c r="G32" s="12">
        <f>F32/D32</f>
        <v>0.3684210526315789</v>
      </c>
      <c r="H32" s="5">
        <v>9</v>
      </c>
      <c r="I32" s="12">
        <f t="shared" si="18"/>
        <v>0.47368421052631576</v>
      </c>
      <c r="J32" s="5">
        <v>3</v>
      </c>
      <c r="K32" s="12">
        <f t="shared" si="15"/>
        <v>0.15789473684210525</v>
      </c>
      <c r="L32" s="53">
        <v>0</v>
      </c>
      <c r="M32" s="12">
        <f t="shared" si="19"/>
        <v>0</v>
      </c>
      <c r="N32" s="21">
        <f t="shared" si="16"/>
        <v>4.2105263157894735</v>
      </c>
      <c r="O32" s="129">
        <f>(14+19+18+17+16+9+10+15+15+16+17+11+12+14+19+16+17+18+16)/D32</f>
        <v>15.210526315789474</v>
      </c>
      <c r="P32" s="128">
        <f>(14+19+18+17+16+9+10+15+15+16+17+11+12+14+19+16+17+18+16)/(20*D32)</f>
        <v>0.7605263157894737</v>
      </c>
      <c r="Q32" s="5"/>
      <c r="R32" s="8"/>
      <c r="S32" s="57"/>
      <c r="T32" s="56">
        <v>4</v>
      </c>
      <c r="U32" s="12">
        <f t="shared" si="20"/>
        <v>0.21052631578947367</v>
      </c>
      <c r="V32" s="56">
        <v>0</v>
      </c>
      <c r="W32" s="12">
        <f t="shared" si="21"/>
        <v>0</v>
      </c>
    </row>
    <row r="33" spans="1:23" ht="15">
      <c r="A33" s="603"/>
      <c r="B33" s="5">
        <v>4</v>
      </c>
      <c r="C33" s="56" t="s">
        <v>3</v>
      </c>
      <c r="D33" s="5">
        <v>21</v>
      </c>
      <c r="E33" s="12">
        <f>D33/28</f>
        <v>0.75</v>
      </c>
      <c r="F33" s="5">
        <v>2</v>
      </c>
      <c r="G33" s="12">
        <f t="shared" si="17"/>
        <v>0.09523809523809523</v>
      </c>
      <c r="H33" s="5">
        <v>10</v>
      </c>
      <c r="I33" s="12">
        <f t="shared" si="18"/>
        <v>0.47619047619047616</v>
      </c>
      <c r="J33" s="5">
        <v>9</v>
      </c>
      <c r="K33" s="12">
        <f t="shared" si="15"/>
        <v>0.42857142857142855</v>
      </c>
      <c r="L33" s="53">
        <v>0</v>
      </c>
      <c r="M33" s="12">
        <f t="shared" si="19"/>
        <v>0</v>
      </c>
      <c r="N33" s="21">
        <f t="shared" si="16"/>
        <v>3.6666666666666665</v>
      </c>
      <c r="O33" s="129">
        <f>(16+11+12+14+11+10+16+14+19+12+7+17+9+13+8+13+11+10+14+15+11)/D33</f>
        <v>12.523809523809524</v>
      </c>
      <c r="P33" s="128">
        <f>(16+11+12+14+11+10+16+14+19+12+7+17+9+13+8+13+11+10+14+15+11)/(20*D33)</f>
        <v>0.6261904761904762</v>
      </c>
      <c r="Q33" s="5"/>
      <c r="R33" s="5"/>
      <c r="S33" s="57"/>
      <c r="T33" s="56">
        <v>1</v>
      </c>
      <c r="U33" s="12">
        <f t="shared" si="20"/>
        <v>0.047619047619047616</v>
      </c>
      <c r="V33" s="56">
        <v>0</v>
      </c>
      <c r="W33" s="12">
        <f t="shared" si="21"/>
        <v>0</v>
      </c>
    </row>
    <row r="34" spans="1:23" s="179" customFormat="1" ht="15">
      <c r="A34" s="603"/>
      <c r="B34" s="172"/>
      <c r="C34" s="173" t="s">
        <v>37</v>
      </c>
      <c r="D34" s="172">
        <v>20</v>
      </c>
      <c r="E34" s="174">
        <f>D34/27</f>
        <v>0.7407407407407407</v>
      </c>
      <c r="F34" s="172">
        <v>2</v>
      </c>
      <c r="G34" s="174">
        <f t="shared" si="17"/>
        <v>0.1</v>
      </c>
      <c r="H34" s="172">
        <v>9</v>
      </c>
      <c r="I34" s="174">
        <f t="shared" si="18"/>
        <v>0.45</v>
      </c>
      <c r="J34" s="172">
        <v>9</v>
      </c>
      <c r="K34" s="174">
        <f t="shared" si="15"/>
        <v>0.45</v>
      </c>
      <c r="L34" s="175">
        <v>0</v>
      </c>
      <c r="M34" s="174">
        <f t="shared" si="19"/>
        <v>0</v>
      </c>
      <c r="N34" s="176">
        <f t="shared" si="16"/>
        <v>3.65</v>
      </c>
      <c r="O34" s="177">
        <f>(16+11+12+14+11+10+14+19+12+7+17+9+13+8+13+11+10+14+15+11)/D34</f>
        <v>12.35</v>
      </c>
      <c r="P34" s="174">
        <f>(16+11+12+14+11+10+14+19+12+7+17+9+13+8+13+11+10+14+15+11)/(20*D34)</f>
        <v>0.6175</v>
      </c>
      <c r="Q34" s="172"/>
      <c r="R34" s="172"/>
      <c r="S34" s="178"/>
      <c r="T34" s="172">
        <v>1</v>
      </c>
      <c r="U34" s="174">
        <f t="shared" si="20"/>
        <v>0.05</v>
      </c>
      <c r="V34" s="172">
        <v>0</v>
      </c>
      <c r="W34" s="174">
        <f t="shared" si="21"/>
        <v>0</v>
      </c>
    </row>
    <row r="35" spans="1:23" s="179" customFormat="1" ht="15">
      <c r="A35" s="603"/>
      <c r="B35" s="172"/>
      <c r="C35" s="173" t="s">
        <v>38</v>
      </c>
      <c r="D35" s="172">
        <v>1</v>
      </c>
      <c r="E35" s="174">
        <f>D35/1</f>
        <v>1</v>
      </c>
      <c r="F35" s="172">
        <v>0</v>
      </c>
      <c r="G35" s="174">
        <f t="shared" si="17"/>
        <v>0</v>
      </c>
      <c r="H35" s="172">
        <v>1</v>
      </c>
      <c r="I35" s="174">
        <f t="shared" si="18"/>
        <v>1</v>
      </c>
      <c r="J35" s="172">
        <v>0</v>
      </c>
      <c r="K35" s="174">
        <f t="shared" si="15"/>
        <v>0</v>
      </c>
      <c r="L35" s="175">
        <v>0</v>
      </c>
      <c r="M35" s="174">
        <f t="shared" si="19"/>
        <v>0</v>
      </c>
      <c r="N35" s="176">
        <f t="shared" si="16"/>
        <v>4</v>
      </c>
      <c r="O35" s="172">
        <f>16/D35</f>
        <v>16</v>
      </c>
      <c r="P35" s="174">
        <f>O35/(20*D35)</f>
        <v>0.8</v>
      </c>
      <c r="Q35" s="172"/>
      <c r="R35" s="172"/>
      <c r="S35" s="178"/>
      <c r="T35" s="172">
        <v>0</v>
      </c>
      <c r="U35" s="174">
        <f t="shared" si="20"/>
        <v>0</v>
      </c>
      <c r="V35" s="172">
        <v>0</v>
      </c>
      <c r="W35" s="174">
        <f t="shared" si="21"/>
        <v>0</v>
      </c>
    </row>
    <row r="36" spans="1:23" ht="30">
      <c r="A36" s="603"/>
      <c r="B36" s="5">
        <v>5</v>
      </c>
      <c r="C36" s="5" t="s">
        <v>4</v>
      </c>
      <c r="D36" s="5">
        <v>2</v>
      </c>
      <c r="E36" s="12">
        <f>D36/2</f>
        <v>1</v>
      </c>
      <c r="F36" s="5">
        <v>1</v>
      </c>
      <c r="G36" s="12">
        <f t="shared" si="17"/>
        <v>0.5</v>
      </c>
      <c r="H36" s="5">
        <v>1</v>
      </c>
      <c r="I36" s="12">
        <f t="shared" si="18"/>
        <v>0.5</v>
      </c>
      <c r="J36" s="5">
        <v>0</v>
      </c>
      <c r="K36" s="12">
        <f t="shared" si="15"/>
        <v>0</v>
      </c>
      <c r="L36" s="53">
        <v>0</v>
      </c>
      <c r="M36" s="12">
        <f t="shared" si="19"/>
        <v>0</v>
      </c>
      <c r="N36" s="21">
        <f t="shared" si="16"/>
        <v>4.5</v>
      </c>
      <c r="O36" s="56">
        <f>(20+14)/D36</f>
        <v>17</v>
      </c>
      <c r="P36" s="128">
        <f>(20+14)/(20*D36)</f>
        <v>0.85</v>
      </c>
      <c r="Q36" s="5"/>
      <c r="R36" s="5"/>
      <c r="S36" s="57"/>
      <c r="T36" s="56">
        <v>0</v>
      </c>
      <c r="U36" s="12">
        <f t="shared" si="20"/>
        <v>0</v>
      </c>
      <c r="V36" s="56">
        <v>1</v>
      </c>
      <c r="W36" s="12">
        <f t="shared" si="21"/>
        <v>0.5</v>
      </c>
    </row>
    <row r="37" spans="1:23" ht="30">
      <c r="A37" s="603"/>
      <c r="B37" s="5">
        <v>6</v>
      </c>
      <c r="C37" s="5" t="s">
        <v>5</v>
      </c>
      <c r="D37" s="5">
        <v>3</v>
      </c>
      <c r="E37" s="12">
        <f>D37/5</f>
        <v>0.6</v>
      </c>
      <c r="F37" s="5">
        <v>1</v>
      </c>
      <c r="G37" s="12">
        <f t="shared" si="17"/>
        <v>0.3333333333333333</v>
      </c>
      <c r="H37" s="5">
        <v>2</v>
      </c>
      <c r="I37" s="12">
        <f t="shared" si="18"/>
        <v>0.6666666666666666</v>
      </c>
      <c r="J37" s="5">
        <v>0</v>
      </c>
      <c r="K37" s="12">
        <f t="shared" si="15"/>
        <v>0</v>
      </c>
      <c r="L37" s="53">
        <v>0</v>
      </c>
      <c r="M37" s="12">
        <f t="shared" si="19"/>
        <v>0</v>
      </c>
      <c r="N37" s="21">
        <f t="shared" si="16"/>
        <v>4.333333333333333</v>
      </c>
      <c r="O37" s="56">
        <f>(15+18+12)/D37</f>
        <v>15</v>
      </c>
      <c r="P37" s="128">
        <f>(15+18+12)/(20*D37)</f>
        <v>0.75</v>
      </c>
      <c r="Q37" s="5"/>
      <c r="R37" s="5"/>
      <c r="S37" s="57"/>
      <c r="T37" s="56">
        <v>1</v>
      </c>
      <c r="U37" s="12">
        <f t="shared" si="20"/>
        <v>0.3333333333333333</v>
      </c>
      <c r="V37" s="56">
        <v>0</v>
      </c>
      <c r="W37" s="12">
        <f t="shared" si="21"/>
        <v>0</v>
      </c>
    </row>
    <row r="38" spans="1:23" ht="15">
      <c r="A38" s="603"/>
      <c r="B38" s="6"/>
      <c r="C38" s="6" t="s">
        <v>6</v>
      </c>
      <c r="D38" s="6">
        <f>SUM(D30:D33)+D36+D37</f>
        <v>75</v>
      </c>
      <c r="E38" s="13">
        <f>D38/107</f>
        <v>0.7009345794392523</v>
      </c>
      <c r="F38" s="6">
        <f>F30+F31+F32+F33+F36+F37</f>
        <v>26</v>
      </c>
      <c r="G38" s="12">
        <f t="shared" si="17"/>
        <v>0.3466666666666667</v>
      </c>
      <c r="H38" s="6">
        <f>H30+H32+H31+H33+H36+H37</f>
        <v>34</v>
      </c>
      <c r="I38" s="12">
        <f t="shared" si="18"/>
        <v>0.4533333333333333</v>
      </c>
      <c r="J38" s="6">
        <f>J30+J31+J32+J33+J36</f>
        <v>15</v>
      </c>
      <c r="K38" s="12">
        <f t="shared" si="15"/>
        <v>0.2</v>
      </c>
      <c r="L38" s="53">
        <f>SUM(L30:L37)</f>
        <v>0</v>
      </c>
      <c r="M38" s="12">
        <f>L38/D38</f>
        <v>0</v>
      </c>
      <c r="N38" s="21">
        <f>(F38*5+H38*4+J38*3)/D38</f>
        <v>4.1466666666666665</v>
      </c>
      <c r="O38" s="21">
        <f>(231+252+289+263+34+45)/D38</f>
        <v>14.853333333333333</v>
      </c>
      <c r="P38" s="13">
        <f>(231+252+289+263+34+45)/(20*D38)</f>
        <v>0.7426666666666667</v>
      </c>
      <c r="Q38" s="6"/>
      <c r="R38" s="6"/>
      <c r="S38" s="26"/>
      <c r="T38" s="6">
        <f>SUM(T30:T37)</f>
        <v>16</v>
      </c>
      <c r="U38" s="12">
        <f t="shared" si="20"/>
        <v>0.21333333333333335</v>
      </c>
      <c r="V38" s="6">
        <f>SUM(V30:V37)</f>
        <v>3</v>
      </c>
      <c r="W38" s="12">
        <f t="shared" si="21"/>
        <v>0.04</v>
      </c>
    </row>
    <row r="39" spans="1:23" ht="15">
      <c r="A39" s="593"/>
      <c r="B39" s="6"/>
      <c r="C39" s="6" t="s">
        <v>22</v>
      </c>
      <c r="D39" s="6"/>
      <c r="E39" s="13"/>
      <c r="F39" s="6"/>
      <c r="G39" s="6"/>
      <c r="H39" s="6"/>
      <c r="I39" s="6"/>
      <c r="J39" s="6"/>
      <c r="K39" s="6"/>
      <c r="L39" s="6"/>
      <c r="M39" s="6"/>
      <c r="N39" s="6">
        <v>4.43</v>
      </c>
      <c r="O39" s="6"/>
      <c r="P39" s="6"/>
      <c r="Q39" s="6"/>
      <c r="R39" s="6"/>
      <c r="S39" s="26"/>
      <c r="T39" s="6"/>
      <c r="U39" s="13"/>
      <c r="V39" s="6"/>
      <c r="W39" s="13"/>
    </row>
    <row r="40" spans="7:11" ht="15">
      <c r="G40" s="95"/>
      <c r="K40" s="55"/>
    </row>
    <row r="41" spans="2:10" ht="15">
      <c r="B41" s="602" t="s">
        <v>193</v>
      </c>
      <c r="C41" s="631"/>
      <c r="D41" s="631"/>
      <c r="E41" s="631"/>
      <c r="F41" s="631"/>
      <c r="G41" s="631"/>
      <c r="H41" s="631"/>
      <c r="I41" s="631"/>
      <c r="J41" s="631"/>
    </row>
    <row r="42" spans="2:16" ht="45">
      <c r="B42" s="33" t="s">
        <v>30</v>
      </c>
      <c r="C42" s="33" t="s">
        <v>35</v>
      </c>
      <c r="D42" s="33" t="s">
        <v>26</v>
      </c>
      <c r="E42" s="12" t="s">
        <v>23</v>
      </c>
      <c r="F42" s="33" t="s">
        <v>1</v>
      </c>
      <c r="G42" s="33" t="s">
        <v>27</v>
      </c>
      <c r="H42" s="33" t="s">
        <v>28</v>
      </c>
      <c r="I42" s="33" t="s">
        <v>29</v>
      </c>
      <c r="J42" s="33" t="s">
        <v>126</v>
      </c>
      <c r="K42" s="32"/>
      <c r="N42" s="32"/>
      <c r="P42" s="32"/>
    </row>
    <row r="43" spans="2:16" ht="79.5" thickBot="1">
      <c r="B43" s="33">
        <v>1</v>
      </c>
      <c r="C43" s="107" t="s">
        <v>109</v>
      </c>
      <c r="D43" s="39"/>
      <c r="E43" s="65">
        <v>1</v>
      </c>
      <c r="F43" s="97"/>
      <c r="G43" s="321">
        <v>100</v>
      </c>
      <c r="H43" s="451">
        <v>92</v>
      </c>
      <c r="I43" s="452"/>
      <c r="J43" s="97">
        <v>100</v>
      </c>
      <c r="K43" s="99"/>
      <c r="L43" s="99"/>
      <c r="M43" s="99"/>
      <c r="N43" s="99"/>
      <c r="O43" s="99"/>
      <c r="P43" s="101"/>
    </row>
    <row r="44" spans="2:16" ht="79.5" thickBot="1">
      <c r="B44" s="103">
        <v>2</v>
      </c>
      <c r="C44" s="107" t="s">
        <v>109</v>
      </c>
      <c r="D44" s="39"/>
      <c r="E44" s="65">
        <v>1</v>
      </c>
      <c r="F44" s="97"/>
      <c r="G44" s="321">
        <v>66.67</v>
      </c>
      <c r="H44" s="451">
        <v>92</v>
      </c>
      <c r="I44" s="452"/>
      <c r="J44" s="97">
        <v>100</v>
      </c>
      <c r="K44" s="99"/>
      <c r="L44" s="99"/>
      <c r="M44" s="99"/>
      <c r="N44" s="99"/>
      <c r="O44" s="99"/>
      <c r="P44" s="99"/>
    </row>
    <row r="45" spans="2:21" ht="142.5" thickBot="1">
      <c r="B45" s="103">
        <v>3</v>
      </c>
      <c r="C45" s="107" t="s">
        <v>110</v>
      </c>
      <c r="D45" s="39"/>
      <c r="E45" s="65">
        <v>1</v>
      </c>
      <c r="F45" s="97"/>
      <c r="G45" s="321">
        <v>61.9</v>
      </c>
      <c r="H45" s="451">
        <v>100</v>
      </c>
      <c r="I45" s="460"/>
      <c r="J45" s="97">
        <v>100</v>
      </c>
      <c r="K45" s="99"/>
      <c r="L45" s="99"/>
      <c r="M45" s="99"/>
      <c r="N45" s="99"/>
      <c r="O45" s="99"/>
      <c r="P45" s="99"/>
      <c r="U45" s="1">
        <f>16+14+17+15+18</f>
        <v>80</v>
      </c>
    </row>
    <row r="46" spans="2:21" ht="79.5" thickBot="1">
      <c r="B46" s="103">
        <v>4</v>
      </c>
      <c r="C46" s="107" t="s">
        <v>109</v>
      </c>
      <c r="D46" s="39"/>
      <c r="E46" s="65">
        <v>1</v>
      </c>
      <c r="F46" s="97"/>
      <c r="G46" s="321">
        <v>90.48</v>
      </c>
      <c r="H46" s="451">
        <v>92</v>
      </c>
      <c r="I46" s="460"/>
      <c r="J46" s="97">
        <v>100</v>
      </c>
      <c r="K46" s="99"/>
      <c r="L46" s="99"/>
      <c r="M46" s="99"/>
      <c r="N46" s="99"/>
      <c r="O46" s="99"/>
      <c r="P46" s="99"/>
      <c r="U46" s="1">
        <f>80/5</f>
        <v>16</v>
      </c>
    </row>
    <row r="47" spans="2:16" ht="79.5" thickBot="1">
      <c r="B47" s="103">
        <v>5</v>
      </c>
      <c r="C47" s="107" t="s">
        <v>109</v>
      </c>
      <c r="D47" s="39"/>
      <c r="E47" s="65">
        <v>0.79</v>
      </c>
      <c r="F47" s="97"/>
      <c r="G47" s="321">
        <v>66.67</v>
      </c>
      <c r="H47" s="451">
        <v>77</v>
      </c>
      <c r="I47" s="460"/>
      <c r="J47" s="97">
        <v>0</v>
      </c>
      <c r="K47" s="99"/>
      <c r="L47" s="99"/>
      <c r="M47" s="99"/>
      <c r="N47" s="99"/>
      <c r="O47" s="99"/>
      <c r="P47" s="99"/>
    </row>
    <row r="48" spans="2:22" ht="142.5" thickBot="1">
      <c r="B48" s="33">
        <v>6</v>
      </c>
      <c r="C48" s="107" t="s">
        <v>110</v>
      </c>
      <c r="D48" s="39"/>
      <c r="E48" s="65">
        <v>0.79</v>
      </c>
      <c r="F48" s="97"/>
      <c r="G48" s="321">
        <v>95.24</v>
      </c>
      <c r="H48" s="451">
        <v>92</v>
      </c>
      <c r="I48" s="460"/>
      <c r="J48" s="97">
        <v>100</v>
      </c>
      <c r="K48" s="99"/>
      <c r="L48" s="99"/>
      <c r="M48" s="99"/>
      <c r="N48" s="99"/>
      <c r="O48" s="99"/>
      <c r="P48" s="99"/>
      <c r="V48" s="1">
        <v>1056</v>
      </c>
    </row>
    <row r="49" spans="2:16" ht="48" thickBot="1">
      <c r="B49" s="33">
        <v>7</v>
      </c>
      <c r="C49" s="107" t="s">
        <v>111</v>
      </c>
      <c r="D49" s="39"/>
      <c r="E49" s="65">
        <v>1</v>
      </c>
      <c r="F49" s="97"/>
      <c r="G49" s="321">
        <v>80.95</v>
      </c>
      <c r="H49" s="451">
        <v>69</v>
      </c>
      <c r="I49" s="452"/>
      <c r="J49" s="97">
        <v>100</v>
      </c>
      <c r="K49" s="99"/>
      <c r="L49" s="99"/>
      <c r="M49" s="99"/>
      <c r="N49" s="99"/>
      <c r="O49" s="99"/>
      <c r="P49" s="99"/>
    </row>
    <row r="50" spans="2:16" ht="79.5" thickBot="1">
      <c r="B50" s="33">
        <v>8</v>
      </c>
      <c r="C50" s="107" t="s">
        <v>112</v>
      </c>
      <c r="D50" s="39"/>
      <c r="E50" s="65">
        <v>0.93</v>
      </c>
      <c r="F50" s="97"/>
      <c r="G50" s="321">
        <v>61.9</v>
      </c>
      <c r="H50" s="451">
        <v>77</v>
      </c>
      <c r="I50" s="452"/>
      <c r="J50" s="97">
        <v>100</v>
      </c>
      <c r="K50" s="99"/>
      <c r="L50" s="99"/>
      <c r="M50" s="99"/>
      <c r="N50" s="99"/>
      <c r="O50" s="99"/>
      <c r="P50" s="99"/>
    </row>
    <row r="51" spans="2:16" ht="142.5" thickBot="1">
      <c r="B51" s="33">
        <v>9</v>
      </c>
      <c r="C51" s="107" t="s">
        <v>110</v>
      </c>
      <c r="D51" s="39"/>
      <c r="E51" s="65">
        <v>1</v>
      </c>
      <c r="F51" s="97"/>
      <c r="G51" s="321">
        <v>90.48</v>
      </c>
      <c r="H51" s="451">
        <v>92</v>
      </c>
      <c r="I51" s="452"/>
      <c r="J51" s="97">
        <v>100</v>
      </c>
      <c r="K51" s="99"/>
      <c r="L51" s="99"/>
      <c r="M51" s="99"/>
      <c r="N51" s="99"/>
      <c r="O51" s="99"/>
      <c r="P51" s="99"/>
    </row>
    <row r="52" spans="2:16" ht="79.5" thickBot="1">
      <c r="B52" s="33">
        <v>10</v>
      </c>
      <c r="C52" s="107" t="s">
        <v>112</v>
      </c>
      <c r="D52" s="39"/>
      <c r="E52" s="65">
        <v>0.64</v>
      </c>
      <c r="F52" s="97"/>
      <c r="G52" s="321">
        <v>71.43</v>
      </c>
      <c r="H52" s="451">
        <v>85</v>
      </c>
      <c r="I52" s="452"/>
      <c r="J52" s="97">
        <v>100</v>
      </c>
      <c r="K52" s="99"/>
      <c r="L52" s="99"/>
      <c r="M52" s="99"/>
      <c r="N52" s="99"/>
      <c r="O52" s="99"/>
      <c r="P52" s="99"/>
    </row>
    <row r="53" spans="2:21" ht="142.5" thickBot="1">
      <c r="B53" s="33">
        <v>11</v>
      </c>
      <c r="C53" s="107" t="s">
        <v>110</v>
      </c>
      <c r="D53" s="39"/>
      <c r="E53" s="65">
        <v>0.86</v>
      </c>
      <c r="F53" s="97"/>
      <c r="G53" s="321">
        <v>100</v>
      </c>
      <c r="H53" s="451">
        <v>100</v>
      </c>
      <c r="I53" s="452"/>
      <c r="J53" s="97">
        <v>100</v>
      </c>
      <c r="K53" s="99"/>
      <c r="L53" s="99"/>
      <c r="M53" s="99"/>
      <c r="N53" s="99"/>
      <c r="O53" s="99"/>
      <c r="P53" s="99"/>
      <c r="U53" s="1">
        <f>71.2-70.29</f>
        <v>0.9099999999999966</v>
      </c>
    </row>
    <row r="54" spans="2:16" ht="79.5" thickBot="1">
      <c r="B54" s="33">
        <v>12</v>
      </c>
      <c r="C54" s="107" t="s">
        <v>112</v>
      </c>
      <c r="D54" s="39"/>
      <c r="E54" s="65">
        <v>0.93</v>
      </c>
      <c r="F54" s="97"/>
      <c r="G54" s="321">
        <v>95.24</v>
      </c>
      <c r="H54" s="451">
        <v>92</v>
      </c>
      <c r="I54" s="460"/>
      <c r="J54" s="97">
        <v>100</v>
      </c>
      <c r="K54" s="99"/>
      <c r="L54" s="99"/>
      <c r="M54" s="99"/>
      <c r="N54" s="99"/>
      <c r="O54" s="99"/>
      <c r="P54" s="99"/>
    </row>
    <row r="55" spans="2:16" ht="79.5" thickBot="1">
      <c r="B55" s="33">
        <v>13</v>
      </c>
      <c r="C55" s="107" t="s">
        <v>113</v>
      </c>
      <c r="D55" s="39"/>
      <c r="E55" s="65">
        <v>0.71</v>
      </c>
      <c r="F55" s="97"/>
      <c r="G55" s="321">
        <v>47.62</v>
      </c>
      <c r="H55" s="451">
        <v>62</v>
      </c>
      <c r="I55" s="452"/>
      <c r="J55" s="97">
        <v>100</v>
      </c>
      <c r="K55" s="99"/>
      <c r="L55" s="99"/>
      <c r="M55" s="99"/>
      <c r="N55" s="99"/>
      <c r="O55" s="99"/>
      <c r="P55" s="99"/>
    </row>
    <row r="56" spans="2:16" ht="63.75" thickBot="1">
      <c r="B56" s="33">
        <v>14</v>
      </c>
      <c r="C56" s="107" t="s">
        <v>114</v>
      </c>
      <c r="D56" s="39"/>
      <c r="E56" s="65">
        <v>1</v>
      </c>
      <c r="F56" s="97"/>
      <c r="G56" s="321">
        <v>57.14</v>
      </c>
      <c r="H56" s="451">
        <v>92</v>
      </c>
      <c r="I56" s="460"/>
      <c r="J56" s="97">
        <v>100</v>
      </c>
      <c r="K56" s="99"/>
      <c r="L56" s="99"/>
      <c r="M56" s="99"/>
      <c r="N56" s="99"/>
      <c r="O56" s="99"/>
      <c r="P56" s="99"/>
    </row>
    <row r="57" spans="2:16" ht="79.5" thickBot="1">
      <c r="B57" s="33">
        <v>15</v>
      </c>
      <c r="C57" s="107" t="s">
        <v>113</v>
      </c>
      <c r="D57" s="39"/>
      <c r="E57" s="65">
        <v>0.86</v>
      </c>
      <c r="F57" s="97"/>
      <c r="G57" s="321">
        <v>61.9</v>
      </c>
      <c r="H57" s="451">
        <v>54</v>
      </c>
      <c r="I57" s="452"/>
      <c r="J57" s="97">
        <v>100</v>
      </c>
      <c r="K57" s="99"/>
      <c r="L57" s="99"/>
      <c r="M57" s="99"/>
      <c r="N57" s="99"/>
      <c r="O57" s="99"/>
      <c r="P57" s="99"/>
    </row>
    <row r="58" spans="2:16" ht="79.5" thickBot="1">
      <c r="B58" s="33">
        <v>16</v>
      </c>
      <c r="C58" s="107" t="s">
        <v>113</v>
      </c>
      <c r="D58" s="39"/>
      <c r="E58" s="65">
        <v>0.36</v>
      </c>
      <c r="F58" s="97"/>
      <c r="G58" s="321">
        <v>42.86</v>
      </c>
      <c r="H58" s="451">
        <v>77</v>
      </c>
      <c r="I58" s="452"/>
      <c r="J58" s="97">
        <v>100</v>
      </c>
      <c r="K58" s="99"/>
      <c r="L58" s="99"/>
      <c r="M58" s="99"/>
      <c r="N58" s="99"/>
      <c r="O58" s="99"/>
      <c r="P58" s="99"/>
    </row>
    <row r="59" spans="2:16" ht="48" thickBot="1">
      <c r="B59" s="33">
        <v>17</v>
      </c>
      <c r="C59" s="107" t="s">
        <v>115</v>
      </c>
      <c r="D59" s="39"/>
      <c r="E59" s="65">
        <v>0.86</v>
      </c>
      <c r="F59" s="97"/>
      <c r="G59" s="321">
        <v>52.38</v>
      </c>
      <c r="H59" s="451">
        <v>85</v>
      </c>
      <c r="I59" s="452"/>
      <c r="J59" s="97">
        <v>0</v>
      </c>
      <c r="K59" s="99"/>
      <c r="L59" s="99"/>
      <c r="M59" s="99"/>
      <c r="N59" s="99"/>
      <c r="O59" s="99"/>
      <c r="P59" s="99"/>
    </row>
    <row r="60" spans="2:16" ht="79.5" thickBot="1">
      <c r="B60" s="33">
        <v>18</v>
      </c>
      <c r="C60" s="107" t="s">
        <v>112</v>
      </c>
      <c r="D60" s="39"/>
      <c r="E60" s="65">
        <v>0.64</v>
      </c>
      <c r="F60" s="97"/>
      <c r="G60" s="321">
        <v>61.9</v>
      </c>
      <c r="H60" s="451">
        <v>85</v>
      </c>
      <c r="I60" s="452"/>
      <c r="J60" s="97">
        <v>100</v>
      </c>
      <c r="K60" s="99"/>
      <c r="L60" s="99"/>
      <c r="M60" s="99"/>
      <c r="N60" s="99"/>
      <c r="O60" s="99"/>
      <c r="P60" s="99"/>
    </row>
    <row r="61" spans="2:16" ht="79.5" thickBot="1">
      <c r="B61" s="33">
        <v>19</v>
      </c>
      <c r="C61" s="107" t="s">
        <v>109</v>
      </c>
      <c r="D61" s="39"/>
      <c r="E61" s="65">
        <v>0.571</v>
      </c>
      <c r="F61" s="97"/>
      <c r="G61" s="321">
        <v>76.19</v>
      </c>
      <c r="H61" s="451">
        <v>77</v>
      </c>
      <c r="I61" s="452"/>
      <c r="J61" s="97">
        <v>100</v>
      </c>
      <c r="K61" s="99"/>
      <c r="L61" s="99"/>
      <c r="M61" s="99"/>
      <c r="N61" s="99"/>
      <c r="O61" s="99"/>
      <c r="P61" s="99"/>
    </row>
    <row r="62" spans="2:16" ht="79.5" thickBot="1">
      <c r="B62" s="33">
        <v>20</v>
      </c>
      <c r="C62" s="107" t="s">
        <v>112</v>
      </c>
      <c r="D62" s="39"/>
      <c r="E62" s="65">
        <v>0.29</v>
      </c>
      <c r="F62" s="97"/>
      <c r="G62" s="321">
        <v>4.76</v>
      </c>
      <c r="H62" s="451">
        <v>31</v>
      </c>
      <c r="I62" s="452"/>
      <c r="J62" s="97">
        <v>0</v>
      </c>
      <c r="K62" s="99"/>
      <c r="L62" s="99"/>
      <c r="M62" s="99"/>
      <c r="N62" s="99"/>
      <c r="O62" s="99"/>
      <c r="P62" s="99"/>
    </row>
    <row r="63" spans="2:16" ht="31.5">
      <c r="B63" s="33"/>
      <c r="C63" s="37"/>
      <c r="D63" s="39"/>
      <c r="E63" s="65"/>
      <c r="F63" s="37"/>
      <c r="G63" s="37"/>
      <c r="H63" s="37"/>
      <c r="I63" s="38"/>
      <c r="J63" s="37"/>
      <c r="K63" s="32"/>
      <c r="N63" s="32"/>
      <c r="P63" s="32"/>
    </row>
    <row r="64" spans="2:16" ht="31.5">
      <c r="B64" s="33"/>
      <c r="C64" s="37"/>
      <c r="D64" s="39"/>
      <c r="E64" s="65"/>
      <c r="F64" s="37"/>
      <c r="G64" s="37"/>
      <c r="H64" s="37"/>
      <c r="I64" s="37"/>
      <c r="J64" s="37"/>
      <c r="K64" s="32"/>
      <c r="N64" s="32"/>
      <c r="P64" s="32"/>
    </row>
    <row r="65" spans="2:16" ht="31.5">
      <c r="B65" s="33"/>
      <c r="C65" s="37"/>
      <c r="D65" s="39"/>
      <c r="E65" s="65"/>
      <c r="F65" s="37"/>
      <c r="G65" s="37"/>
      <c r="H65" s="37"/>
      <c r="I65" s="37"/>
      <c r="J65" s="37"/>
      <c r="K65" s="32"/>
      <c r="N65" s="32"/>
      <c r="P65" s="32"/>
    </row>
    <row r="66" spans="2:16" ht="31.5">
      <c r="B66" s="33"/>
      <c r="C66" s="37"/>
      <c r="D66" s="39"/>
      <c r="E66" s="65"/>
      <c r="F66" s="37"/>
      <c r="G66" s="37"/>
      <c r="H66" s="37"/>
      <c r="I66" s="37"/>
      <c r="J66" s="37"/>
      <c r="K66" s="32"/>
      <c r="N66" s="32"/>
      <c r="P66" s="32"/>
    </row>
  </sheetData>
  <sheetProtection/>
  <mergeCells count="42">
    <mergeCell ref="P16:P17"/>
    <mergeCell ref="B41:J41"/>
    <mergeCell ref="B15:T15"/>
    <mergeCell ref="D28:E28"/>
    <mergeCell ref="O28:O29"/>
    <mergeCell ref="Q28:S28"/>
    <mergeCell ref="F28:G28"/>
    <mergeCell ref="H28:I28"/>
    <mergeCell ref="Q16:S16"/>
    <mergeCell ref="T16:U16"/>
    <mergeCell ref="A28:A39"/>
    <mergeCell ref="A16:A27"/>
    <mergeCell ref="D16:E16"/>
    <mergeCell ref="F16:G16"/>
    <mergeCell ref="H16:I16"/>
    <mergeCell ref="J16:K16"/>
    <mergeCell ref="V16:W16"/>
    <mergeCell ref="J28:K28"/>
    <mergeCell ref="N28:N29"/>
    <mergeCell ref="L28:M28"/>
    <mergeCell ref="L16:M16"/>
    <mergeCell ref="P28:P29"/>
    <mergeCell ref="T28:U28"/>
    <mergeCell ref="V28:W28"/>
    <mergeCell ref="N16:N17"/>
    <mergeCell ref="O16:O17"/>
    <mergeCell ref="B1:T1"/>
    <mergeCell ref="A2:A13"/>
    <mergeCell ref="D2:E2"/>
    <mergeCell ref="F2:G2"/>
    <mergeCell ref="H2:I2"/>
    <mergeCell ref="J2:K2"/>
    <mergeCell ref="L2:M2"/>
    <mergeCell ref="N2:N3"/>
    <mergeCell ref="O2:O3"/>
    <mergeCell ref="P2:P3"/>
    <mergeCell ref="X2:Y2"/>
    <mergeCell ref="Z2:AA2"/>
    <mergeCell ref="AB2:AC2"/>
    <mergeCell ref="Q2:S2"/>
    <mergeCell ref="T2:U2"/>
    <mergeCell ref="V2:W2"/>
  </mergeCells>
  <printOptions/>
  <pageMargins left="0.7" right="0.7" top="0.75" bottom="0.75" header="0.3" footer="0.3"/>
  <pageSetup horizontalDpi="600" verticalDpi="600" orientation="landscape" paperSize="9" scale="48" r:id="rId1"/>
  <rowBreaks count="2" manualBreakCount="2">
    <brk id="14" max="28" man="1"/>
    <brk id="39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126"/>
  <sheetViews>
    <sheetView view="pageBreakPreview" zoomScale="80" zoomScaleSheetLayoutView="80" workbookViewId="0" topLeftCell="A1">
      <selection activeCell="I88" sqref="I88"/>
    </sheetView>
  </sheetViews>
  <sheetFormatPr defaultColWidth="9.140625" defaultRowHeight="15"/>
  <cols>
    <col min="1" max="1" width="9.140625" style="196" customWidth="1"/>
    <col min="2" max="2" width="4.7109375" style="1" customWidth="1"/>
    <col min="3" max="3" width="12.421875" style="1" customWidth="1"/>
    <col min="4" max="4" width="6.421875" style="1" customWidth="1"/>
    <col min="5" max="5" width="9.140625" style="1" customWidth="1"/>
    <col min="6" max="6" width="8.421875" style="1" customWidth="1"/>
    <col min="7" max="7" width="9.7109375" style="55" customWidth="1"/>
    <col min="8" max="8" width="11.57421875" style="55" bestFit="1" customWidth="1"/>
    <col min="9" max="9" width="7.8515625" style="1" customWidth="1"/>
    <col min="10" max="10" width="6.421875" style="1" customWidth="1"/>
    <col min="11" max="11" width="12.28125" style="1" customWidth="1"/>
    <col min="12" max="12" width="12.7109375" style="1" customWidth="1"/>
    <col min="13" max="13" width="13.140625" style="1" customWidth="1"/>
    <col min="14" max="14" width="5.57421875" style="1" customWidth="1"/>
    <col min="15" max="15" width="12.57421875" style="1" customWidth="1"/>
    <col min="16" max="16" width="5.7109375" style="1" customWidth="1"/>
    <col min="17" max="17" width="11.57421875" style="1" bestFit="1" customWidth="1"/>
    <col min="18" max="18" width="4.7109375" style="1" customWidth="1"/>
    <col min="19" max="19" width="11.57421875" style="1" bestFit="1" customWidth="1"/>
    <col min="20" max="20" width="5.140625" style="1" customWidth="1"/>
    <col min="21" max="21" width="9.140625" style="1" customWidth="1"/>
    <col min="22" max="22" width="5.7109375" style="1" customWidth="1"/>
    <col min="23" max="23" width="11.57421875" style="1" bestFit="1" customWidth="1"/>
    <col min="24" max="24" width="5.57421875" style="1" customWidth="1"/>
    <col min="25" max="25" width="9.57421875" style="1" customWidth="1"/>
    <col min="26" max="26" width="5.8515625" style="1" customWidth="1"/>
    <col min="27" max="27" width="9.140625" style="1" customWidth="1"/>
    <col min="28" max="28" width="5.8515625" style="1" customWidth="1"/>
    <col min="29" max="16384" width="9.140625" style="1" customWidth="1"/>
  </cols>
  <sheetData>
    <row r="1" spans="1:25" s="476" customFormat="1" ht="15">
      <c r="A1" s="540"/>
      <c r="B1" s="588" t="s">
        <v>273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</row>
    <row r="2" spans="1:25" s="476" customFormat="1" ht="88.5" customHeight="1">
      <c r="A2" s="590" t="s">
        <v>256</v>
      </c>
      <c r="B2" s="542"/>
      <c r="C2" s="542"/>
      <c r="D2" s="590" t="s">
        <v>7</v>
      </c>
      <c r="E2" s="590"/>
      <c r="F2" s="590" t="s">
        <v>39</v>
      </c>
      <c r="G2" s="592" t="s">
        <v>20</v>
      </c>
      <c r="H2" s="592" t="s">
        <v>274</v>
      </c>
      <c r="I2" s="590" t="s">
        <v>9</v>
      </c>
      <c r="J2" s="590"/>
      <c r="K2" s="590" t="s">
        <v>13</v>
      </c>
      <c r="L2" s="590"/>
      <c r="M2" s="590"/>
      <c r="N2" s="587" t="s">
        <v>289</v>
      </c>
      <c r="O2" s="587"/>
      <c r="P2" s="587" t="s">
        <v>212</v>
      </c>
      <c r="Q2" s="587"/>
      <c r="R2" s="587" t="s">
        <v>275</v>
      </c>
      <c r="S2" s="587"/>
      <c r="T2" s="620" t="s">
        <v>220</v>
      </c>
      <c r="U2" s="632"/>
      <c r="V2" s="620" t="s">
        <v>221</v>
      </c>
      <c r="W2" s="632"/>
      <c r="X2" s="620" t="s">
        <v>290</v>
      </c>
      <c r="Y2" s="620"/>
    </row>
    <row r="3" spans="1:25" s="476" customFormat="1" ht="120">
      <c r="A3" s="590"/>
      <c r="B3" s="542"/>
      <c r="C3" s="542"/>
      <c r="D3" s="542" t="s">
        <v>8</v>
      </c>
      <c r="E3" s="542" t="s">
        <v>11</v>
      </c>
      <c r="F3" s="590"/>
      <c r="G3" s="593"/>
      <c r="H3" s="593"/>
      <c r="I3" s="542" t="s">
        <v>8</v>
      </c>
      <c r="J3" s="542" t="s">
        <v>10</v>
      </c>
      <c r="K3" s="542" t="s">
        <v>14</v>
      </c>
      <c r="L3" s="542" t="s">
        <v>171</v>
      </c>
      <c r="M3" s="542" t="s">
        <v>15</v>
      </c>
      <c r="N3" s="553" t="s">
        <v>8</v>
      </c>
      <c r="O3" s="553" t="s">
        <v>10</v>
      </c>
      <c r="P3" s="539" t="s">
        <v>8</v>
      </c>
      <c r="Q3" s="539" t="s">
        <v>10</v>
      </c>
      <c r="R3" s="539" t="s">
        <v>8</v>
      </c>
      <c r="S3" s="539" t="s">
        <v>10</v>
      </c>
      <c r="T3" s="539" t="s">
        <v>8</v>
      </c>
      <c r="U3" s="539" t="s">
        <v>10</v>
      </c>
      <c r="V3" s="539" t="s">
        <v>8</v>
      </c>
      <c r="W3" s="539" t="s">
        <v>10</v>
      </c>
      <c r="X3" s="539" t="s">
        <v>8</v>
      </c>
      <c r="Y3" s="539" t="s">
        <v>10</v>
      </c>
    </row>
    <row r="4" spans="1:26" s="476" customFormat="1" ht="15">
      <c r="A4" s="590"/>
      <c r="B4" s="542">
        <v>1</v>
      </c>
      <c r="C4" s="539" t="s">
        <v>0</v>
      </c>
      <c r="D4" s="539">
        <v>21</v>
      </c>
      <c r="E4" s="48">
        <v>1</v>
      </c>
      <c r="F4" s="284">
        <v>76.1</v>
      </c>
      <c r="G4" s="68">
        <v>46.48</v>
      </c>
      <c r="H4" s="499">
        <v>0.7877</v>
      </c>
      <c r="I4" s="539">
        <v>0</v>
      </c>
      <c r="J4" s="539">
        <v>0</v>
      </c>
      <c r="K4" s="539">
        <v>14</v>
      </c>
      <c r="L4" s="539">
        <v>100</v>
      </c>
      <c r="M4" s="68">
        <v>76.57</v>
      </c>
      <c r="N4" s="70">
        <v>11</v>
      </c>
      <c r="O4" s="305">
        <v>0.5238</v>
      </c>
      <c r="P4" s="106">
        <v>6</v>
      </c>
      <c r="Q4" s="421">
        <v>0.2857</v>
      </c>
      <c r="R4" s="539">
        <v>0</v>
      </c>
      <c r="S4" s="499">
        <v>0</v>
      </c>
      <c r="T4" s="542">
        <v>0</v>
      </c>
      <c r="U4" s="416">
        <v>0</v>
      </c>
      <c r="V4" s="542">
        <v>15</v>
      </c>
      <c r="W4" s="543">
        <v>0.7143</v>
      </c>
      <c r="X4" s="581"/>
      <c r="Y4" s="582"/>
      <c r="Z4" s="27"/>
    </row>
    <row r="5" spans="1:26" s="476" customFormat="1" ht="15">
      <c r="A5" s="590"/>
      <c r="B5" s="542">
        <v>2</v>
      </c>
      <c r="C5" s="539" t="s">
        <v>1</v>
      </c>
      <c r="D5" s="539">
        <v>13</v>
      </c>
      <c r="E5" s="48">
        <v>1</v>
      </c>
      <c r="F5" s="285">
        <v>70.3</v>
      </c>
      <c r="G5" s="68">
        <v>41.8</v>
      </c>
      <c r="H5" s="499">
        <v>0.71</v>
      </c>
      <c r="I5" s="539">
        <v>0</v>
      </c>
      <c r="J5" s="539">
        <v>0</v>
      </c>
      <c r="K5" s="539">
        <v>0</v>
      </c>
      <c r="L5" s="539">
        <v>0</v>
      </c>
      <c r="M5" s="68">
        <v>0</v>
      </c>
      <c r="N5" s="70">
        <v>5</v>
      </c>
      <c r="O5" s="295">
        <v>0.38</v>
      </c>
      <c r="P5" s="106">
        <v>4</v>
      </c>
      <c r="Q5" s="433">
        <v>0.33</v>
      </c>
      <c r="R5" s="539">
        <v>0</v>
      </c>
      <c r="S5" s="499">
        <v>0</v>
      </c>
      <c r="T5" s="542">
        <v>4</v>
      </c>
      <c r="U5" s="314">
        <v>0.33</v>
      </c>
      <c r="V5" s="542">
        <v>5</v>
      </c>
      <c r="W5" s="543">
        <v>0.38</v>
      </c>
      <c r="X5" s="581"/>
      <c r="Y5" s="582"/>
      <c r="Z5" s="27"/>
    </row>
    <row r="6" spans="1:26" s="476" customFormat="1" ht="15">
      <c r="A6" s="590"/>
      <c r="B6" s="542">
        <v>3</v>
      </c>
      <c r="C6" s="539" t="s">
        <v>2</v>
      </c>
      <c r="D6" s="539">
        <v>19</v>
      </c>
      <c r="E6" s="48">
        <v>1</v>
      </c>
      <c r="F6" s="284">
        <v>75</v>
      </c>
      <c r="G6" s="68">
        <v>46</v>
      </c>
      <c r="H6" s="499">
        <v>0.77</v>
      </c>
      <c r="I6" s="539">
        <v>0</v>
      </c>
      <c r="J6" s="539">
        <v>0</v>
      </c>
      <c r="K6" s="539">
        <v>0</v>
      </c>
      <c r="L6" s="48">
        <v>0</v>
      </c>
      <c r="M6" s="68">
        <v>0</v>
      </c>
      <c r="N6" s="70">
        <v>11</v>
      </c>
      <c r="O6" s="305">
        <v>0.57</v>
      </c>
      <c r="P6" s="106">
        <v>6</v>
      </c>
      <c r="Q6" s="421">
        <v>0.31</v>
      </c>
      <c r="R6" s="539">
        <v>0</v>
      </c>
      <c r="S6" s="499">
        <v>0</v>
      </c>
      <c r="T6" s="542">
        <v>1</v>
      </c>
      <c r="U6" s="416">
        <v>0.05</v>
      </c>
      <c r="V6" s="542">
        <v>12</v>
      </c>
      <c r="W6" s="543">
        <v>0.63</v>
      </c>
      <c r="X6" s="581"/>
      <c r="Y6" s="582"/>
      <c r="Z6" s="27"/>
    </row>
    <row r="7" spans="1:26" s="476" customFormat="1" ht="15">
      <c r="A7" s="590"/>
      <c r="B7" s="542">
        <v>4</v>
      </c>
      <c r="C7" s="539" t="s">
        <v>3</v>
      </c>
      <c r="D7" s="539">
        <v>17</v>
      </c>
      <c r="E7" s="48">
        <v>1</v>
      </c>
      <c r="F7" s="68">
        <v>74</v>
      </c>
      <c r="G7" s="68">
        <v>45</v>
      </c>
      <c r="H7" s="499">
        <v>0.76</v>
      </c>
      <c r="I7" s="539">
        <v>0</v>
      </c>
      <c r="J7" s="539">
        <v>0</v>
      </c>
      <c r="K7" s="539">
        <v>0</v>
      </c>
      <c r="L7" s="48">
        <v>0</v>
      </c>
      <c r="M7" s="68">
        <v>0</v>
      </c>
      <c r="N7" s="70">
        <v>9</v>
      </c>
      <c r="O7" s="295">
        <v>0.52</v>
      </c>
      <c r="P7" s="106">
        <v>5</v>
      </c>
      <c r="Q7" s="421">
        <v>0.29</v>
      </c>
      <c r="R7" s="539">
        <v>0</v>
      </c>
      <c r="S7" s="499">
        <v>0</v>
      </c>
      <c r="T7" s="542">
        <v>2</v>
      </c>
      <c r="U7" s="543">
        <v>0.11</v>
      </c>
      <c r="V7" s="542">
        <v>10</v>
      </c>
      <c r="W7" s="543">
        <v>0.58</v>
      </c>
      <c r="X7" s="581"/>
      <c r="Y7" s="582"/>
      <c r="Z7" s="27"/>
    </row>
    <row r="8" spans="1:26" s="476" customFormat="1" ht="15">
      <c r="A8" s="590"/>
      <c r="B8" s="542"/>
      <c r="C8" s="393" t="s">
        <v>37</v>
      </c>
      <c r="D8" s="215"/>
      <c r="E8" s="394"/>
      <c r="F8" s="348"/>
      <c r="G8" s="348"/>
      <c r="H8" s="322"/>
      <c r="I8" s="215"/>
      <c r="J8" s="215"/>
      <c r="K8" s="215"/>
      <c r="L8" s="48"/>
      <c r="M8" s="215"/>
      <c r="N8" s="70"/>
      <c r="O8" s="295"/>
      <c r="P8" s="215"/>
      <c r="Q8" s="322"/>
      <c r="R8" s="215"/>
      <c r="S8" s="499"/>
      <c r="T8" s="542"/>
      <c r="U8" s="543"/>
      <c r="V8" s="542"/>
      <c r="W8" s="543"/>
      <c r="X8" s="583"/>
      <c r="Y8" s="584"/>
      <c r="Z8" s="27"/>
    </row>
    <row r="9" spans="1:26" s="476" customFormat="1" ht="15">
      <c r="A9" s="590"/>
      <c r="B9" s="542"/>
      <c r="C9" s="393" t="s">
        <v>38</v>
      </c>
      <c r="D9" s="215"/>
      <c r="E9" s="394"/>
      <c r="F9" s="348"/>
      <c r="G9" s="348"/>
      <c r="H9" s="322"/>
      <c r="I9" s="215"/>
      <c r="J9" s="215"/>
      <c r="K9" s="215"/>
      <c r="L9" s="48"/>
      <c r="M9" s="215"/>
      <c r="N9" s="70"/>
      <c r="O9" s="295"/>
      <c r="P9" s="215"/>
      <c r="Q9" s="322"/>
      <c r="R9" s="215"/>
      <c r="S9" s="499"/>
      <c r="T9" s="542"/>
      <c r="U9" s="543"/>
      <c r="V9" s="542"/>
      <c r="W9" s="543"/>
      <c r="X9" s="583"/>
      <c r="Y9" s="584"/>
      <c r="Z9" s="27"/>
    </row>
    <row r="10" spans="1:26" s="476" customFormat="1" ht="30">
      <c r="A10" s="590"/>
      <c r="B10" s="542">
        <v>5</v>
      </c>
      <c r="C10" s="539" t="s">
        <v>4</v>
      </c>
      <c r="D10" s="539"/>
      <c r="E10" s="48"/>
      <c r="F10" s="68"/>
      <c r="G10" s="68"/>
      <c r="H10" s="499"/>
      <c r="I10" s="539"/>
      <c r="J10" s="539"/>
      <c r="K10" s="539"/>
      <c r="L10" s="48"/>
      <c r="M10" s="539"/>
      <c r="N10" s="269"/>
      <c r="O10" s="298"/>
      <c r="P10" s="106"/>
      <c r="Q10" s="421"/>
      <c r="R10" s="539"/>
      <c r="S10" s="499"/>
      <c r="T10" s="542"/>
      <c r="U10" s="543"/>
      <c r="V10" s="542"/>
      <c r="W10" s="543"/>
      <c r="X10" s="583"/>
      <c r="Y10" s="584"/>
      <c r="Z10" s="27"/>
    </row>
    <row r="11" spans="1:25" s="476" customFormat="1" ht="45">
      <c r="A11" s="590"/>
      <c r="B11" s="542">
        <v>6</v>
      </c>
      <c r="C11" s="539" t="s">
        <v>5</v>
      </c>
      <c r="D11" s="539"/>
      <c r="E11" s="48"/>
      <c r="F11" s="68"/>
      <c r="G11" s="68"/>
      <c r="H11" s="499"/>
      <c r="I11" s="539"/>
      <c r="J11" s="539"/>
      <c r="K11" s="539"/>
      <c r="L11" s="48"/>
      <c r="M11" s="539"/>
      <c r="N11" s="539"/>
      <c r="O11" s="306"/>
      <c r="P11" s="106"/>
      <c r="Q11" s="421"/>
      <c r="R11" s="539"/>
      <c r="S11" s="499"/>
      <c r="T11" s="542"/>
      <c r="U11" s="543"/>
      <c r="V11" s="542"/>
      <c r="W11" s="543"/>
      <c r="X11" s="431"/>
      <c r="Y11" s="432"/>
    </row>
    <row r="12" spans="1:25" s="476" customFormat="1" ht="15">
      <c r="A12" s="590"/>
      <c r="B12" s="544"/>
      <c r="C12" s="296" t="s">
        <v>6</v>
      </c>
      <c r="D12" s="296">
        <f>SUM(D4:D7)+D10+D11</f>
        <v>70</v>
      </c>
      <c r="E12" s="171">
        <v>1</v>
      </c>
      <c r="F12" s="283">
        <v>74.5</v>
      </c>
      <c r="G12" s="149">
        <v>44.5</v>
      </c>
      <c r="H12" s="83">
        <v>0.75</v>
      </c>
      <c r="I12" s="296">
        <v>0</v>
      </c>
      <c r="J12" s="296">
        <v>0</v>
      </c>
      <c r="K12" s="296">
        <f>SUM(K4:K11)</f>
        <v>14</v>
      </c>
      <c r="L12" s="171">
        <v>0.93</v>
      </c>
      <c r="M12" s="149">
        <v>76.6</v>
      </c>
      <c r="N12" s="296">
        <v>36</v>
      </c>
      <c r="O12" s="298">
        <v>0.51</v>
      </c>
      <c r="P12" s="296">
        <f>P4+P5+P6+P7+P10+P11</f>
        <v>21</v>
      </c>
      <c r="Q12" s="83">
        <v>0.3</v>
      </c>
      <c r="R12" s="296">
        <f>R4+R5+R6+R7+R10+R11</f>
        <v>0</v>
      </c>
      <c r="S12" s="83">
        <f>R12/D12</f>
        <v>0</v>
      </c>
      <c r="T12" s="550">
        <f>T4+T5+T6+T7+T10+T11</f>
        <v>7</v>
      </c>
      <c r="U12" s="13">
        <v>0.1</v>
      </c>
      <c r="V12" s="550">
        <f>V4+V5+V6+V7+V10+V11</f>
        <v>42</v>
      </c>
      <c r="W12" s="13">
        <v>0.6</v>
      </c>
      <c r="X12" s="549">
        <v>0</v>
      </c>
      <c r="Y12" s="13">
        <f>X12/D12</f>
        <v>0</v>
      </c>
    </row>
    <row r="13" spans="1:25" s="476" customFormat="1" ht="15">
      <c r="A13" s="591"/>
      <c r="B13" s="561"/>
      <c r="C13" s="296" t="s">
        <v>22</v>
      </c>
      <c r="D13" s="296"/>
      <c r="E13" s="296"/>
      <c r="F13" s="296">
        <v>73.61</v>
      </c>
      <c r="G13" s="296"/>
      <c r="H13" s="296"/>
      <c r="I13" s="296"/>
      <c r="J13" s="296"/>
      <c r="K13" s="296"/>
      <c r="L13" s="296"/>
      <c r="M13" s="296"/>
      <c r="N13" s="296"/>
      <c r="O13" s="298"/>
      <c r="P13" s="296"/>
      <c r="Q13" s="296">
        <v>30.43</v>
      </c>
      <c r="R13" s="296"/>
      <c r="S13" s="296"/>
      <c r="T13" s="555"/>
      <c r="U13" s="555"/>
      <c r="V13" s="555"/>
      <c r="W13" s="555"/>
      <c r="X13" s="555"/>
      <c r="Y13" s="555"/>
    </row>
    <row r="14" spans="1:25" s="554" customFormat="1" ht="15">
      <c r="A14" s="558"/>
      <c r="B14" s="561"/>
      <c r="C14" s="296" t="s">
        <v>277</v>
      </c>
      <c r="D14" s="296"/>
      <c r="E14" s="296"/>
      <c r="F14" s="296">
        <v>71.36</v>
      </c>
      <c r="G14" s="296"/>
      <c r="H14" s="296"/>
      <c r="I14" s="296"/>
      <c r="J14" s="296"/>
      <c r="K14" s="296"/>
      <c r="L14" s="296"/>
      <c r="M14" s="296"/>
      <c r="N14" s="296"/>
      <c r="O14" s="298"/>
      <c r="P14" s="296"/>
      <c r="Q14" s="296">
        <v>28</v>
      </c>
      <c r="R14" s="296"/>
      <c r="S14" s="296"/>
      <c r="T14" s="555"/>
      <c r="U14" s="555"/>
      <c r="V14" s="555"/>
      <c r="W14" s="555"/>
      <c r="X14" s="555"/>
      <c r="Y14" s="555"/>
    </row>
    <row r="15" spans="1:19" s="554" customFormat="1" ht="15">
      <c r="A15" s="558"/>
      <c r="B15" s="560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7"/>
      <c r="P15" s="146"/>
      <c r="Q15" s="146"/>
      <c r="R15" s="146"/>
      <c r="S15" s="146"/>
    </row>
    <row r="16" spans="1:14" s="476" customFormat="1" ht="15">
      <c r="A16" s="475"/>
      <c r="B16" s="588" t="s">
        <v>235</v>
      </c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</row>
    <row r="17" spans="1:25" s="386" customFormat="1" ht="15">
      <c r="A17" s="590" t="s">
        <v>228</v>
      </c>
      <c r="B17" s="477"/>
      <c r="C17" s="477"/>
      <c r="D17" s="590" t="s">
        <v>7</v>
      </c>
      <c r="E17" s="590"/>
      <c r="F17" s="590" t="s">
        <v>39</v>
      </c>
      <c r="G17" s="592" t="s">
        <v>20</v>
      </c>
      <c r="H17" s="592" t="s">
        <v>149</v>
      </c>
      <c r="I17" s="590" t="s">
        <v>9</v>
      </c>
      <c r="J17" s="590"/>
      <c r="K17" s="590" t="s">
        <v>13</v>
      </c>
      <c r="L17" s="590"/>
      <c r="M17" s="590"/>
      <c r="N17" s="587" t="s">
        <v>244</v>
      </c>
      <c r="O17" s="587"/>
      <c r="P17" s="587" t="s">
        <v>212</v>
      </c>
      <c r="Q17" s="587"/>
      <c r="R17" s="587" t="s">
        <v>42</v>
      </c>
      <c r="S17" s="587"/>
      <c r="T17" s="620" t="s">
        <v>220</v>
      </c>
      <c r="U17" s="632"/>
      <c r="V17" s="620" t="s">
        <v>221</v>
      </c>
      <c r="W17" s="632"/>
      <c r="X17" s="620" t="s">
        <v>222</v>
      </c>
      <c r="Y17" s="620"/>
    </row>
    <row r="18" spans="1:29" s="22" customFormat="1" ht="81" customHeight="1">
      <c r="A18" s="590"/>
      <c r="B18" s="477"/>
      <c r="C18" s="477"/>
      <c r="D18" s="477" t="s">
        <v>8</v>
      </c>
      <c r="E18" s="477" t="s">
        <v>11</v>
      </c>
      <c r="F18" s="590"/>
      <c r="G18" s="593"/>
      <c r="H18" s="593"/>
      <c r="I18" s="477" t="s">
        <v>8</v>
      </c>
      <c r="J18" s="477" t="s">
        <v>10</v>
      </c>
      <c r="K18" s="477" t="s">
        <v>14</v>
      </c>
      <c r="L18" s="477" t="s">
        <v>171</v>
      </c>
      <c r="M18" s="477" t="s">
        <v>15</v>
      </c>
      <c r="N18" s="474" t="s">
        <v>8</v>
      </c>
      <c r="O18" s="474" t="s">
        <v>10</v>
      </c>
      <c r="P18" s="474" t="s">
        <v>8</v>
      </c>
      <c r="Q18" s="474" t="s">
        <v>10</v>
      </c>
      <c r="R18" s="474" t="s">
        <v>8</v>
      </c>
      <c r="S18" s="474" t="s">
        <v>10</v>
      </c>
      <c r="T18" s="474" t="s">
        <v>8</v>
      </c>
      <c r="U18" s="474" t="s">
        <v>10</v>
      </c>
      <c r="V18" s="474" t="s">
        <v>8</v>
      </c>
      <c r="W18" s="474" t="s">
        <v>10</v>
      </c>
      <c r="X18" s="474" t="s">
        <v>8</v>
      </c>
      <c r="Y18" s="474" t="s">
        <v>10</v>
      </c>
      <c r="Z18" s="620" t="s">
        <v>223</v>
      </c>
      <c r="AA18" s="620"/>
      <c r="AB18" s="620" t="s">
        <v>224</v>
      </c>
      <c r="AC18" s="620"/>
    </row>
    <row r="19" spans="1:29" ht="75.75" customHeight="1">
      <c r="A19" s="590"/>
      <c r="B19" s="477">
        <v>1</v>
      </c>
      <c r="C19" s="474" t="s">
        <v>0</v>
      </c>
      <c r="D19" s="474">
        <v>22</v>
      </c>
      <c r="E19" s="48">
        <f>D19/27</f>
        <v>0.8148148148148148</v>
      </c>
      <c r="F19" s="284">
        <v>77</v>
      </c>
      <c r="G19" s="68">
        <v>46</v>
      </c>
      <c r="H19" s="65">
        <f aca="true" t="shared" si="0" ref="H19:H26">G19/58</f>
        <v>0.7931034482758621</v>
      </c>
      <c r="I19" s="474">
        <v>0</v>
      </c>
      <c r="J19" s="474">
        <v>0</v>
      </c>
      <c r="K19" s="474">
        <v>0</v>
      </c>
      <c r="L19" s="474">
        <v>0</v>
      </c>
      <c r="M19" s="68">
        <v>0</v>
      </c>
      <c r="N19" s="474"/>
      <c r="O19" s="306">
        <f>N19/D19</f>
        <v>0</v>
      </c>
      <c r="P19" s="106">
        <v>11</v>
      </c>
      <c r="Q19" s="433">
        <f aca="true" t="shared" si="1" ref="Q19:Q24">P19/D19</f>
        <v>0.5</v>
      </c>
      <c r="R19" s="474">
        <v>0</v>
      </c>
      <c r="S19" s="65">
        <f aca="true" t="shared" si="2" ref="S19:S27">R19/D19</f>
        <v>0</v>
      </c>
      <c r="T19" s="477">
        <v>1</v>
      </c>
      <c r="U19" s="482">
        <f>T19/D19</f>
        <v>0.045454545454545456</v>
      </c>
      <c r="V19" s="477">
        <v>10</v>
      </c>
      <c r="W19" s="482">
        <f>V19/D19</f>
        <v>0.45454545454545453</v>
      </c>
      <c r="X19" s="431"/>
      <c r="Y19" s="432">
        <f>X19/D19</f>
        <v>0</v>
      </c>
      <c r="Z19" s="426" t="s">
        <v>8</v>
      </c>
      <c r="AA19" s="426" t="s">
        <v>10</v>
      </c>
      <c r="AB19" s="426" t="s">
        <v>8</v>
      </c>
      <c r="AC19" s="426" t="s">
        <v>10</v>
      </c>
    </row>
    <row r="20" spans="1:30" ht="17.25" customHeight="1">
      <c r="A20" s="590"/>
      <c r="B20" s="477">
        <v>2</v>
      </c>
      <c r="C20" s="474" t="s">
        <v>1</v>
      </c>
      <c r="D20" s="474">
        <v>14</v>
      </c>
      <c r="E20" s="48">
        <f>D20/22</f>
        <v>0.6363636363636364</v>
      </c>
      <c r="F20" s="68">
        <v>75</v>
      </c>
      <c r="G20" s="68">
        <v>45</v>
      </c>
      <c r="H20" s="65">
        <f t="shared" si="0"/>
        <v>0.7758620689655172</v>
      </c>
      <c r="I20" s="474">
        <v>0</v>
      </c>
      <c r="J20" s="474">
        <v>0</v>
      </c>
      <c r="K20" s="474">
        <v>0</v>
      </c>
      <c r="L20" s="474">
        <v>0</v>
      </c>
      <c r="M20" s="68">
        <v>0</v>
      </c>
      <c r="N20" s="474"/>
      <c r="O20" s="306">
        <f aca="true" t="shared" si="3" ref="O20:O27">N20/D20</f>
        <v>0</v>
      </c>
      <c r="P20" s="106">
        <v>6</v>
      </c>
      <c r="Q20" s="421">
        <f>P20/D20</f>
        <v>0.42857142857142855</v>
      </c>
      <c r="R20" s="474">
        <v>0</v>
      </c>
      <c r="S20" s="65">
        <f t="shared" si="2"/>
        <v>0</v>
      </c>
      <c r="T20" s="477">
        <v>3</v>
      </c>
      <c r="U20" s="482">
        <f aca="true" t="shared" si="4" ref="U20:U27">T20/D20</f>
        <v>0.21428571428571427</v>
      </c>
      <c r="V20" s="477">
        <v>5</v>
      </c>
      <c r="W20" s="482">
        <f aca="true" t="shared" si="5" ref="W20:W27">V20/D20</f>
        <v>0.35714285714285715</v>
      </c>
      <c r="X20" s="431"/>
      <c r="Y20" s="432">
        <f aca="true" t="shared" si="6" ref="Y20:Y27">X20/D20</f>
        <v>0</v>
      </c>
      <c r="Z20" s="429">
        <v>17</v>
      </c>
      <c r="AA20" s="432">
        <f aca="true" t="shared" si="7" ref="AA20:AA28">Z20/D33</f>
        <v>0.7727272727272727</v>
      </c>
      <c r="AB20" s="429">
        <v>1</v>
      </c>
      <c r="AC20" s="432">
        <f aca="true" t="shared" si="8" ref="AC20:AC28">AB20/D33</f>
        <v>0.045454545454545456</v>
      </c>
      <c r="AD20" s="64"/>
    </row>
    <row r="21" spans="1:30" ht="16.5" customHeight="1">
      <c r="A21" s="590"/>
      <c r="B21" s="477">
        <v>3</v>
      </c>
      <c r="C21" s="474" t="s">
        <v>2</v>
      </c>
      <c r="D21" s="474">
        <v>25</v>
      </c>
      <c r="E21" s="48">
        <f>D21/29</f>
        <v>0.8620689655172413</v>
      </c>
      <c r="F21" s="68">
        <v>75</v>
      </c>
      <c r="G21" s="68">
        <v>45</v>
      </c>
      <c r="H21" s="65">
        <f t="shared" si="0"/>
        <v>0.7758620689655172</v>
      </c>
      <c r="I21" s="474">
        <v>0</v>
      </c>
      <c r="J21" s="474">
        <v>0</v>
      </c>
      <c r="K21" s="474">
        <v>10</v>
      </c>
      <c r="L21" s="48">
        <f>K21/13</f>
        <v>0.7692307692307693</v>
      </c>
      <c r="M21" s="68">
        <v>77.3</v>
      </c>
      <c r="N21" s="474"/>
      <c r="O21" s="306">
        <f t="shared" si="3"/>
        <v>0</v>
      </c>
      <c r="P21" s="106">
        <v>8</v>
      </c>
      <c r="Q21" s="421">
        <f t="shared" si="1"/>
        <v>0.32</v>
      </c>
      <c r="R21" s="474">
        <v>0</v>
      </c>
      <c r="S21" s="65">
        <f t="shared" si="2"/>
        <v>0</v>
      </c>
      <c r="T21" s="477">
        <v>3</v>
      </c>
      <c r="U21" s="482">
        <f>T21/D21</f>
        <v>0.12</v>
      </c>
      <c r="V21" s="477">
        <v>14</v>
      </c>
      <c r="W21" s="482">
        <f t="shared" si="5"/>
        <v>0.56</v>
      </c>
      <c r="X21" s="431"/>
      <c r="Y21" s="432">
        <f t="shared" si="6"/>
        <v>0</v>
      </c>
      <c r="Z21" s="429">
        <v>16</v>
      </c>
      <c r="AA21" s="432">
        <f t="shared" si="7"/>
        <v>0.7619047619047619</v>
      </c>
      <c r="AB21" s="429">
        <v>2</v>
      </c>
      <c r="AC21" s="432">
        <f t="shared" si="8"/>
        <v>0.09523809523809523</v>
      </c>
      <c r="AD21" s="64"/>
    </row>
    <row r="22" spans="1:30" ht="15">
      <c r="A22" s="590"/>
      <c r="B22" s="477">
        <v>4</v>
      </c>
      <c r="C22" s="474" t="s">
        <v>3</v>
      </c>
      <c r="D22" s="474">
        <v>24</v>
      </c>
      <c r="E22" s="48">
        <f>D22/27</f>
        <v>0.8888888888888888</v>
      </c>
      <c r="F22" s="68">
        <v>73</v>
      </c>
      <c r="G22" s="68">
        <v>44</v>
      </c>
      <c r="H22" s="65">
        <f t="shared" si="0"/>
        <v>0.7586206896551724</v>
      </c>
      <c r="I22" s="474">
        <v>0</v>
      </c>
      <c r="J22" s="474">
        <v>0</v>
      </c>
      <c r="K22" s="474">
        <v>0</v>
      </c>
      <c r="L22" s="48">
        <f>K22/21</f>
        <v>0</v>
      </c>
      <c r="M22" s="68">
        <v>0</v>
      </c>
      <c r="N22" s="474"/>
      <c r="O22" s="306">
        <f t="shared" si="3"/>
        <v>0</v>
      </c>
      <c r="P22" s="106">
        <v>5</v>
      </c>
      <c r="Q22" s="421">
        <f>P22/D22</f>
        <v>0.20833333333333334</v>
      </c>
      <c r="R22" s="474">
        <v>0</v>
      </c>
      <c r="S22" s="65">
        <f t="shared" si="2"/>
        <v>0</v>
      </c>
      <c r="T22" s="477">
        <v>5</v>
      </c>
      <c r="U22" s="482">
        <f t="shared" si="4"/>
        <v>0.20833333333333334</v>
      </c>
      <c r="V22" s="477">
        <v>14</v>
      </c>
      <c r="W22" s="482">
        <f t="shared" si="5"/>
        <v>0.5833333333333334</v>
      </c>
      <c r="X22" s="431"/>
      <c r="Y22" s="432">
        <f t="shared" si="6"/>
        <v>0</v>
      </c>
      <c r="Z22" s="429">
        <v>22</v>
      </c>
      <c r="AA22" s="433">
        <f t="shared" si="7"/>
        <v>0.8148148148148148</v>
      </c>
      <c r="AB22" s="429">
        <v>5</v>
      </c>
      <c r="AC22" s="432">
        <f t="shared" si="8"/>
        <v>0.18518518518518517</v>
      </c>
      <c r="AD22" s="64"/>
    </row>
    <row r="23" spans="1:30" ht="15">
      <c r="A23" s="590"/>
      <c r="B23" s="477"/>
      <c r="C23" s="393" t="s">
        <v>37</v>
      </c>
      <c r="D23" s="215">
        <v>24</v>
      </c>
      <c r="E23" s="394">
        <f>D23/27</f>
        <v>0.8888888888888888</v>
      </c>
      <c r="F23" s="348">
        <v>73</v>
      </c>
      <c r="G23" s="348">
        <v>44</v>
      </c>
      <c r="H23" s="322">
        <f t="shared" si="0"/>
        <v>0.7586206896551724</v>
      </c>
      <c r="I23" s="215">
        <v>0</v>
      </c>
      <c r="J23" s="215">
        <v>0</v>
      </c>
      <c r="K23" s="215">
        <v>0</v>
      </c>
      <c r="L23" s="48">
        <f>K23/21</f>
        <v>0</v>
      </c>
      <c r="M23" s="215">
        <v>0</v>
      </c>
      <c r="N23" s="215"/>
      <c r="O23" s="422">
        <f t="shared" si="3"/>
        <v>0</v>
      </c>
      <c r="P23" s="215">
        <v>5</v>
      </c>
      <c r="Q23" s="322">
        <f t="shared" si="1"/>
        <v>0.20833333333333334</v>
      </c>
      <c r="R23" s="215">
        <v>0</v>
      </c>
      <c r="S23" s="65">
        <f t="shared" si="2"/>
        <v>0</v>
      </c>
      <c r="T23" s="477">
        <v>5</v>
      </c>
      <c r="U23" s="482">
        <f t="shared" si="4"/>
        <v>0.20833333333333334</v>
      </c>
      <c r="V23" s="477">
        <v>14</v>
      </c>
      <c r="W23" s="482">
        <f t="shared" si="5"/>
        <v>0.5833333333333334</v>
      </c>
      <c r="X23" s="431"/>
      <c r="Y23" s="432">
        <f t="shared" si="6"/>
        <v>0</v>
      </c>
      <c r="Z23" s="429"/>
      <c r="AA23" s="432">
        <f t="shared" si="7"/>
        <v>0</v>
      </c>
      <c r="AB23" s="429"/>
      <c r="AC23" s="432">
        <f t="shared" si="8"/>
        <v>0</v>
      </c>
      <c r="AD23" s="64"/>
    </row>
    <row r="24" spans="1:30" ht="15">
      <c r="A24" s="590"/>
      <c r="B24" s="477"/>
      <c r="C24" s="393" t="s">
        <v>38</v>
      </c>
      <c r="D24" s="215"/>
      <c r="E24" s="394"/>
      <c r="F24" s="348"/>
      <c r="G24" s="348" t="e">
        <f>62/D24</f>
        <v>#DIV/0!</v>
      </c>
      <c r="H24" s="322" t="e">
        <f t="shared" si="0"/>
        <v>#DIV/0!</v>
      </c>
      <c r="I24" s="215">
        <v>0</v>
      </c>
      <c r="J24" s="215">
        <v>0</v>
      </c>
      <c r="K24" s="215">
        <v>0</v>
      </c>
      <c r="L24" s="48">
        <f>K24/21</f>
        <v>0</v>
      </c>
      <c r="M24" s="215">
        <v>0</v>
      </c>
      <c r="N24" s="215"/>
      <c r="O24" s="422" t="e">
        <f t="shared" si="3"/>
        <v>#DIV/0!</v>
      </c>
      <c r="P24" s="215">
        <v>0</v>
      </c>
      <c r="Q24" s="322" t="e">
        <f t="shared" si="1"/>
        <v>#DIV/0!</v>
      </c>
      <c r="R24" s="215">
        <v>0</v>
      </c>
      <c r="S24" s="65" t="e">
        <f t="shared" si="2"/>
        <v>#DIV/0!</v>
      </c>
      <c r="T24" s="477"/>
      <c r="U24" s="482" t="e">
        <f t="shared" si="4"/>
        <v>#DIV/0!</v>
      </c>
      <c r="V24" s="477"/>
      <c r="W24" s="482" t="e">
        <f t="shared" si="5"/>
        <v>#DIV/0!</v>
      </c>
      <c r="X24" s="431"/>
      <c r="Y24" s="432" t="e">
        <f t="shared" si="6"/>
        <v>#DIV/0!</v>
      </c>
      <c r="Z24" s="429">
        <v>16</v>
      </c>
      <c r="AA24" s="432">
        <f t="shared" si="7"/>
        <v>0.6666666666666666</v>
      </c>
      <c r="AB24" s="429">
        <v>6</v>
      </c>
      <c r="AC24" s="432">
        <f t="shared" si="8"/>
        <v>0.25</v>
      </c>
      <c r="AD24" s="64"/>
    </row>
    <row r="25" spans="1:30" ht="30">
      <c r="A25" s="590"/>
      <c r="B25" s="477">
        <v>5</v>
      </c>
      <c r="C25" s="474" t="s">
        <v>4</v>
      </c>
      <c r="D25" s="474"/>
      <c r="E25" s="48"/>
      <c r="F25" s="68"/>
      <c r="G25" s="68" t="e">
        <f>113/D25</f>
        <v>#DIV/0!</v>
      </c>
      <c r="H25" s="65" t="e">
        <f t="shared" si="0"/>
        <v>#DIV/0!</v>
      </c>
      <c r="I25" s="474">
        <v>0</v>
      </c>
      <c r="J25" s="474">
        <v>0</v>
      </c>
      <c r="K25" s="474">
        <v>0</v>
      </c>
      <c r="L25" s="48">
        <f>K25/21</f>
        <v>0</v>
      </c>
      <c r="M25" s="474">
        <v>0</v>
      </c>
      <c r="N25" s="474"/>
      <c r="O25" s="306" t="e">
        <f t="shared" si="3"/>
        <v>#DIV/0!</v>
      </c>
      <c r="P25" s="106">
        <v>0</v>
      </c>
      <c r="Q25" s="421" t="e">
        <f>P25/D25</f>
        <v>#DIV/0!</v>
      </c>
      <c r="R25" s="474">
        <v>0</v>
      </c>
      <c r="S25" s="65" t="e">
        <f t="shared" si="2"/>
        <v>#DIV/0!</v>
      </c>
      <c r="T25" s="477"/>
      <c r="U25" s="482" t="e">
        <f t="shared" si="4"/>
        <v>#DIV/0!</v>
      </c>
      <c r="V25" s="477"/>
      <c r="W25" s="482" t="e">
        <f t="shared" si="5"/>
        <v>#DIV/0!</v>
      </c>
      <c r="X25" s="431"/>
      <c r="Y25" s="432" t="e">
        <f t="shared" si="6"/>
        <v>#DIV/0!</v>
      </c>
      <c r="Z25" s="429"/>
      <c r="AA25" s="432">
        <f t="shared" si="7"/>
        <v>0</v>
      </c>
      <c r="AB25" s="429"/>
      <c r="AC25" s="432">
        <f t="shared" si="8"/>
        <v>0</v>
      </c>
      <c r="AD25" s="64"/>
    </row>
    <row r="26" spans="1:30" s="55" customFormat="1" ht="45">
      <c r="A26" s="590"/>
      <c r="B26" s="477">
        <v>6</v>
      </c>
      <c r="C26" s="474" t="s">
        <v>5</v>
      </c>
      <c r="D26" s="474">
        <v>3</v>
      </c>
      <c r="E26" s="48">
        <f>D26/3</f>
        <v>1</v>
      </c>
      <c r="F26" s="284">
        <v>82</v>
      </c>
      <c r="G26" s="68">
        <v>49</v>
      </c>
      <c r="H26" s="65">
        <f t="shared" si="0"/>
        <v>0.8448275862068966</v>
      </c>
      <c r="I26" s="474">
        <v>0</v>
      </c>
      <c r="J26" s="474">
        <v>0</v>
      </c>
      <c r="K26" s="474">
        <v>0</v>
      </c>
      <c r="L26" s="48">
        <f>K26/21</f>
        <v>0</v>
      </c>
      <c r="M26" s="474">
        <v>0</v>
      </c>
      <c r="N26" s="474"/>
      <c r="O26" s="306">
        <f t="shared" si="3"/>
        <v>0</v>
      </c>
      <c r="P26" s="106">
        <v>1</v>
      </c>
      <c r="Q26" s="421">
        <f>P26/D26</f>
        <v>0.3333333333333333</v>
      </c>
      <c r="R26" s="474">
        <v>0</v>
      </c>
      <c r="S26" s="65">
        <f t="shared" si="2"/>
        <v>0</v>
      </c>
      <c r="T26" s="477"/>
      <c r="U26" s="482">
        <f t="shared" si="4"/>
        <v>0</v>
      </c>
      <c r="V26" s="477">
        <v>2</v>
      </c>
      <c r="W26" s="482">
        <f t="shared" si="5"/>
        <v>0.6666666666666666</v>
      </c>
      <c r="X26" s="431"/>
      <c r="Y26" s="432">
        <f t="shared" si="6"/>
        <v>0</v>
      </c>
      <c r="Z26" s="429">
        <v>3</v>
      </c>
      <c r="AA26" s="432">
        <f t="shared" si="7"/>
        <v>0.75</v>
      </c>
      <c r="AB26" s="429"/>
      <c r="AC26" s="432">
        <f t="shared" si="8"/>
        <v>0</v>
      </c>
      <c r="AD26" s="64"/>
    </row>
    <row r="27" spans="1:30" s="55" customFormat="1" ht="1.5" customHeight="1">
      <c r="A27" s="590"/>
      <c r="B27" s="485"/>
      <c r="C27" s="296" t="s">
        <v>6</v>
      </c>
      <c r="D27" s="296">
        <f>SUM(D19:D22)+D25+D26</f>
        <v>88</v>
      </c>
      <c r="E27" s="171">
        <f>D27/108</f>
        <v>0.8148148148148148</v>
      </c>
      <c r="F27" s="283">
        <f>(1695+1055+1865+1742+245)/D27</f>
        <v>75.02272727272727</v>
      </c>
      <c r="G27" s="149">
        <f>(1023+634+1122+1049+148)/D27</f>
        <v>45.18181818181818</v>
      </c>
      <c r="H27" s="83">
        <f>G27/58</f>
        <v>0.7789968652037618</v>
      </c>
      <c r="I27" s="296">
        <v>0</v>
      </c>
      <c r="J27" s="296">
        <v>0</v>
      </c>
      <c r="K27" s="296">
        <f>SUM(K19:K26)</f>
        <v>10</v>
      </c>
      <c r="L27" s="48">
        <f>K27/13</f>
        <v>0.7692307692307693</v>
      </c>
      <c r="M27" s="149">
        <v>77.3</v>
      </c>
      <c r="N27" s="296">
        <f>SUM(N19:N26)-N24-N23</f>
        <v>0</v>
      </c>
      <c r="O27" s="306">
        <f t="shared" si="3"/>
        <v>0</v>
      </c>
      <c r="P27" s="106">
        <f>P19+P20+P21+P22+P25+P26</f>
        <v>31</v>
      </c>
      <c r="Q27" s="421">
        <f>P27/D27</f>
        <v>0.3522727272727273</v>
      </c>
      <c r="R27" s="296">
        <f>R19+R20+R21+R22+R25+R26</f>
        <v>0</v>
      </c>
      <c r="S27" s="65">
        <f t="shared" si="2"/>
        <v>0</v>
      </c>
      <c r="T27" s="477">
        <f>T19+T20+T21+T22+T25+T26</f>
        <v>12</v>
      </c>
      <c r="U27" s="482">
        <f t="shared" si="4"/>
        <v>0.13636363636363635</v>
      </c>
      <c r="V27" s="477">
        <f>V19+V20+V21+V22+V25+V26</f>
        <v>45</v>
      </c>
      <c r="W27" s="482">
        <f t="shared" si="5"/>
        <v>0.5113636363636364</v>
      </c>
      <c r="X27" s="431"/>
      <c r="Y27" s="432">
        <f t="shared" si="6"/>
        <v>0</v>
      </c>
      <c r="Z27" s="429"/>
      <c r="AA27" s="432" t="e">
        <f t="shared" si="7"/>
        <v>#DIV/0!</v>
      </c>
      <c r="AB27" s="429"/>
      <c r="AC27" s="432" t="e">
        <f t="shared" si="8"/>
        <v>#DIV/0!</v>
      </c>
      <c r="AD27" s="64"/>
    </row>
    <row r="28" spans="1:30" ht="15">
      <c r="A28" s="590"/>
      <c r="B28" s="485"/>
      <c r="C28" s="296" t="s">
        <v>22</v>
      </c>
      <c r="D28" s="296"/>
      <c r="E28" s="296"/>
      <c r="F28" s="296">
        <v>74.6</v>
      </c>
      <c r="G28" s="296"/>
      <c r="H28" s="296"/>
      <c r="I28" s="296"/>
      <c r="J28" s="296"/>
      <c r="K28" s="296"/>
      <c r="L28" s="296"/>
      <c r="M28" s="296"/>
      <c r="N28" s="296"/>
      <c r="O28" s="298"/>
      <c r="P28" s="296"/>
      <c r="Q28" s="296"/>
      <c r="R28" s="296"/>
      <c r="S28" s="296"/>
      <c r="T28" s="476"/>
      <c r="U28" s="476"/>
      <c r="V28" s="476"/>
      <c r="W28" s="476"/>
      <c r="X28" s="476"/>
      <c r="Y28" s="476"/>
      <c r="Z28" s="429">
        <f>SUM(Z20:Z26)</f>
        <v>74</v>
      </c>
      <c r="AA28" s="432">
        <f t="shared" si="7"/>
        <v>0.74</v>
      </c>
      <c r="AB28" s="429">
        <f>SUM(AB20:AB26)</f>
        <v>14</v>
      </c>
      <c r="AC28" s="432">
        <f t="shared" si="8"/>
        <v>0.14</v>
      </c>
      <c r="AD28" s="64"/>
    </row>
    <row r="29" spans="1:25" ht="21.75" customHeight="1">
      <c r="A29" s="476"/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</row>
    <row r="30" spans="1:25" s="4" customFormat="1" ht="15">
      <c r="A30" s="385"/>
      <c r="B30" s="588" t="s">
        <v>200</v>
      </c>
      <c r="C30" s="589"/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</row>
    <row r="31" spans="1:25" ht="15">
      <c r="A31" s="590" t="s">
        <v>194</v>
      </c>
      <c r="B31" s="387"/>
      <c r="C31" s="387"/>
      <c r="D31" s="590" t="s">
        <v>7</v>
      </c>
      <c r="E31" s="590"/>
      <c r="F31" s="590" t="s">
        <v>39</v>
      </c>
      <c r="G31" s="592" t="s">
        <v>20</v>
      </c>
      <c r="H31" s="592" t="s">
        <v>149</v>
      </c>
      <c r="I31" s="590" t="s">
        <v>9</v>
      </c>
      <c r="J31" s="590"/>
      <c r="K31" s="590" t="s">
        <v>13</v>
      </c>
      <c r="L31" s="590"/>
      <c r="M31" s="590"/>
      <c r="N31" s="587" t="s">
        <v>204</v>
      </c>
      <c r="O31" s="587"/>
      <c r="P31" s="587" t="s">
        <v>212</v>
      </c>
      <c r="Q31" s="587"/>
      <c r="R31" s="587" t="s">
        <v>42</v>
      </c>
      <c r="S31" s="587"/>
      <c r="T31" s="620" t="s">
        <v>220</v>
      </c>
      <c r="U31" s="632"/>
      <c r="V31" s="620" t="s">
        <v>221</v>
      </c>
      <c r="W31" s="632"/>
      <c r="X31" s="620" t="s">
        <v>222</v>
      </c>
      <c r="Y31" s="620"/>
    </row>
    <row r="32" spans="1:25" ht="120">
      <c r="A32" s="590"/>
      <c r="B32" s="387"/>
      <c r="C32" s="387"/>
      <c r="D32" s="387" t="s">
        <v>8</v>
      </c>
      <c r="E32" s="387" t="s">
        <v>11</v>
      </c>
      <c r="F32" s="590"/>
      <c r="G32" s="593"/>
      <c r="H32" s="593"/>
      <c r="I32" s="387" t="s">
        <v>8</v>
      </c>
      <c r="J32" s="387" t="s">
        <v>10</v>
      </c>
      <c r="K32" s="387" t="s">
        <v>14</v>
      </c>
      <c r="L32" s="387" t="s">
        <v>171</v>
      </c>
      <c r="M32" s="387" t="s">
        <v>15</v>
      </c>
      <c r="N32" s="384" t="s">
        <v>8</v>
      </c>
      <c r="O32" s="384" t="s">
        <v>10</v>
      </c>
      <c r="P32" s="384" t="s">
        <v>8</v>
      </c>
      <c r="Q32" s="384" t="s">
        <v>10</v>
      </c>
      <c r="R32" s="384" t="s">
        <v>8</v>
      </c>
      <c r="S32" s="384" t="s">
        <v>10</v>
      </c>
      <c r="T32" s="412" t="s">
        <v>8</v>
      </c>
      <c r="U32" s="412" t="s">
        <v>10</v>
      </c>
      <c r="V32" s="412" t="s">
        <v>8</v>
      </c>
      <c r="W32" s="412" t="s">
        <v>10</v>
      </c>
      <c r="X32" s="426" t="s">
        <v>8</v>
      </c>
      <c r="Y32" s="426" t="s">
        <v>10</v>
      </c>
    </row>
    <row r="33" spans="1:25" ht="15">
      <c r="A33" s="590"/>
      <c r="B33" s="387">
        <v>1</v>
      </c>
      <c r="C33" s="384" t="s">
        <v>0</v>
      </c>
      <c r="D33" s="384">
        <v>22</v>
      </c>
      <c r="E33" s="48">
        <f>D33/22</f>
        <v>1</v>
      </c>
      <c r="F33" s="68">
        <f>1612/D33</f>
        <v>73.27272727272727</v>
      </c>
      <c r="G33" s="68">
        <f>973/D33</f>
        <v>44.22727272727273</v>
      </c>
      <c r="H33" s="65">
        <f aca="true" t="shared" si="9" ref="H33:H40">G33/58</f>
        <v>0.762539184952978</v>
      </c>
      <c r="I33" s="384">
        <v>0</v>
      </c>
      <c r="J33" s="384">
        <v>0</v>
      </c>
      <c r="K33" s="384">
        <v>0</v>
      </c>
      <c r="L33" s="384">
        <v>0</v>
      </c>
      <c r="M33" s="68">
        <v>0</v>
      </c>
      <c r="N33" s="384">
        <v>11</v>
      </c>
      <c r="O33" s="417">
        <f>N33/D33</f>
        <v>0.5</v>
      </c>
      <c r="P33" s="106">
        <v>6</v>
      </c>
      <c r="Q33" s="421">
        <f aca="true" t="shared" si="10" ref="Q33:Q41">P33/D33</f>
        <v>0.2727272727272727</v>
      </c>
      <c r="R33" s="384">
        <v>0</v>
      </c>
      <c r="S33" s="65">
        <f aca="true" t="shared" si="11" ref="S33:S41">R33/D33</f>
        <v>0</v>
      </c>
      <c r="T33" s="413">
        <v>4</v>
      </c>
      <c r="U33" s="414">
        <f>T33/D33</f>
        <v>0.18181818181818182</v>
      </c>
      <c r="V33" s="413">
        <v>12</v>
      </c>
      <c r="W33" s="414">
        <f>V33/D33</f>
        <v>0.5454545454545454</v>
      </c>
      <c r="X33" s="431">
        <v>4</v>
      </c>
      <c r="Y33" s="432">
        <f>X33/D33</f>
        <v>0.18181818181818182</v>
      </c>
    </row>
    <row r="34" spans="1:25" ht="15">
      <c r="A34" s="590"/>
      <c r="B34" s="387">
        <v>2</v>
      </c>
      <c r="C34" s="384" t="s">
        <v>1</v>
      </c>
      <c r="D34" s="384">
        <v>21</v>
      </c>
      <c r="E34" s="48">
        <f>D34/21</f>
        <v>1</v>
      </c>
      <c r="F34" s="68">
        <f>1512/D34</f>
        <v>72</v>
      </c>
      <c r="G34" s="68">
        <f>908/D34</f>
        <v>43.23809523809524</v>
      </c>
      <c r="H34" s="65">
        <f t="shared" si="9"/>
        <v>0.7454844006568145</v>
      </c>
      <c r="I34" s="384">
        <v>0</v>
      </c>
      <c r="J34" s="384">
        <v>0</v>
      </c>
      <c r="K34" s="384">
        <v>0</v>
      </c>
      <c r="L34" s="384">
        <v>0</v>
      </c>
      <c r="M34" s="68">
        <v>0</v>
      </c>
      <c r="N34" s="384">
        <v>6</v>
      </c>
      <c r="O34" s="306">
        <f aca="true" t="shared" si="12" ref="O34:O41">N34/D34</f>
        <v>0.2857142857142857</v>
      </c>
      <c r="P34" s="106">
        <v>5</v>
      </c>
      <c r="Q34" s="421">
        <f t="shared" si="10"/>
        <v>0.23809523809523808</v>
      </c>
      <c r="R34" s="384">
        <v>0</v>
      </c>
      <c r="S34" s="65">
        <f t="shared" si="11"/>
        <v>0</v>
      </c>
      <c r="T34" s="413">
        <v>4</v>
      </c>
      <c r="U34" s="414">
        <f aca="true" t="shared" si="13" ref="U34:U41">T34/D34</f>
        <v>0.19047619047619047</v>
      </c>
      <c r="V34" s="413">
        <v>12</v>
      </c>
      <c r="W34" s="414">
        <f aca="true" t="shared" si="14" ref="W34:W41">V34/D34</f>
        <v>0.5714285714285714</v>
      </c>
      <c r="X34" s="431">
        <v>3</v>
      </c>
      <c r="Y34" s="432">
        <f aca="true" t="shared" si="15" ref="Y34:Y41">X34/D34</f>
        <v>0.14285714285714285</v>
      </c>
    </row>
    <row r="35" spans="1:25" ht="15">
      <c r="A35" s="590"/>
      <c r="B35" s="387">
        <v>3</v>
      </c>
      <c r="C35" s="384" t="s">
        <v>2</v>
      </c>
      <c r="D35" s="384">
        <v>27</v>
      </c>
      <c r="E35" s="48">
        <f>D35/27</f>
        <v>1</v>
      </c>
      <c r="F35" s="68">
        <f>1953/D35</f>
        <v>72.33333333333333</v>
      </c>
      <c r="G35" s="68">
        <f>1178/D35</f>
        <v>43.629629629629626</v>
      </c>
      <c r="H35" s="65">
        <f t="shared" si="9"/>
        <v>0.7522349936143039</v>
      </c>
      <c r="I35" s="384">
        <v>0</v>
      </c>
      <c r="J35" s="384">
        <v>0</v>
      </c>
      <c r="K35" s="384">
        <v>21</v>
      </c>
      <c r="L35" s="316">
        <f>K35/D35</f>
        <v>0.7777777777777778</v>
      </c>
      <c r="M35" s="68">
        <f>1506/K35</f>
        <v>71.71428571428571</v>
      </c>
      <c r="N35" s="384">
        <v>9</v>
      </c>
      <c r="O35" s="306">
        <f t="shared" si="12"/>
        <v>0.3333333333333333</v>
      </c>
      <c r="P35" s="106">
        <v>6</v>
      </c>
      <c r="Q35" s="421">
        <f t="shared" si="10"/>
        <v>0.2222222222222222</v>
      </c>
      <c r="R35" s="384">
        <v>0</v>
      </c>
      <c r="S35" s="65">
        <f t="shared" si="11"/>
        <v>0</v>
      </c>
      <c r="T35" s="413">
        <v>3</v>
      </c>
      <c r="U35" s="414">
        <f t="shared" si="13"/>
        <v>0.1111111111111111</v>
      </c>
      <c r="V35" s="413">
        <v>18</v>
      </c>
      <c r="W35" s="414">
        <f t="shared" si="14"/>
        <v>0.6666666666666666</v>
      </c>
      <c r="X35" s="431"/>
      <c r="Y35" s="432">
        <f t="shared" si="15"/>
        <v>0</v>
      </c>
    </row>
    <row r="36" spans="1:25" ht="14.25" customHeight="1">
      <c r="A36" s="590"/>
      <c r="B36" s="387">
        <v>4</v>
      </c>
      <c r="C36" s="384" t="s">
        <v>3</v>
      </c>
      <c r="D36" s="384">
        <v>26</v>
      </c>
      <c r="E36" s="48">
        <f>D36/26</f>
        <v>1</v>
      </c>
      <c r="F36" s="68">
        <f>1754/D36</f>
        <v>67.46153846153847</v>
      </c>
      <c r="G36" s="68">
        <f>1045/D36</f>
        <v>40.19230769230769</v>
      </c>
      <c r="H36" s="65">
        <f t="shared" si="9"/>
        <v>0.6929708222811671</v>
      </c>
      <c r="I36" s="384">
        <v>0</v>
      </c>
      <c r="J36" s="384">
        <v>0</v>
      </c>
      <c r="K36" s="384">
        <v>0</v>
      </c>
      <c r="L36" s="48">
        <f aca="true" t="shared" si="16" ref="L36:L41">K36/21</f>
        <v>0</v>
      </c>
      <c r="M36" s="68">
        <v>0</v>
      </c>
      <c r="N36" s="384">
        <v>6</v>
      </c>
      <c r="O36" s="306">
        <f t="shared" si="12"/>
        <v>0.23076923076923078</v>
      </c>
      <c r="P36" s="106">
        <v>4</v>
      </c>
      <c r="Q36" s="421">
        <f t="shared" si="10"/>
        <v>0.15384615384615385</v>
      </c>
      <c r="R36" s="384">
        <v>0</v>
      </c>
      <c r="S36" s="65">
        <f t="shared" si="11"/>
        <v>0</v>
      </c>
      <c r="T36" s="413">
        <v>7</v>
      </c>
      <c r="U36" s="414">
        <f t="shared" si="13"/>
        <v>0.2692307692307692</v>
      </c>
      <c r="V36" s="413">
        <v>15</v>
      </c>
      <c r="W36" s="414">
        <f t="shared" si="14"/>
        <v>0.5769230769230769</v>
      </c>
      <c r="X36" s="431"/>
      <c r="Y36" s="432">
        <f t="shared" si="15"/>
        <v>0</v>
      </c>
    </row>
    <row r="37" spans="1:28" ht="15">
      <c r="A37" s="590"/>
      <c r="B37" s="387"/>
      <c r="C37" s="393" t="s">
        <v>37</v>
      </c>
      <c r="D37" s="215">
        <v>24</v>
      </c>
      <c r="E37" s="394">
        <v>1</v>
      </c>
      <c r="F37" s="348">
        <f>1644/D37</f>
        <v>68.5</v>
      </c>
      <c r="G37" s="348">
        <f>983/D37</f>
        <v>40.958333333333336</v>
      </c>
      <c r="H37" s="322">
        <f t="shared" si="9"/>
        <v>0.7061781609195402</v>
      </c>
      <c r="I37" s="215">
        <v>0</v>
      </c>
      <c r="J37" s="215">
        <v>0</v>
      </c>
      <c r="K37" s="215">
        <v>0</v>
      </c>
      <c r="L37" s="48">
        <f t="shared" si="16"/>
        <v>0</v>
      </c>
      <c r="M37" s="215">
        <v>0</v>
      </c>
      <c r="N37" s="215">
        <v>6</v>
      </c>
      <c r="O37" s="422">
        <f t="shared" si="12"/>
        <v>0.25</v>
      </c>
      <c r="P37" s="215">
        <v>4</v>
      </c>
      <c r="Q37" s="322">
        <f t="shared" si="10"/>
        <v>0.16666666666666666</v>
      </c>
      <c r="R37" s="215">
        <v>0</v>
      </c>
      <c r="S37" s="65">
        <f t="shared" si="11"/>
        <v>0</v>
      </c>
      <c r="T37" s="413"/>
      <c r="U37" s="414">
        <f t="shared" si="13"/>
        <v>0</v>
      </c>
      <c r="V37" s="413"/>
      <c r="W37" s="414">
        <f t="shared" si="14"/>
        <v>0</v>
      </c>
      <c r="X37" s="431">
        <v>2</v>
      </c>
      <c r="Y37" s="432">
        <f t="shared" si="15"/>
        <v>0.08333333333333333</v>
      </c>
      <c r="Z37" s="40"/>
      <c r="AA37" s="40"/>
      <c r="AB37" s="40"/>
    </row>
    <row r="38" spans="1:25" ht="15">
      <c r="A38" s="590"/>
      <c r="B38" s="387"/>
      <c r="C38" s="393" t="s">
        <v>38</v>
      </c>
      <c r="D38" s="215">
        <v>2</v>
      </c>
      <c r="E38" s="394">
        <v>1</v>
      </c>
      <c r="F38" s="348">
        <f>110/D38</f>
        <v>55</v>
      </c>
      <c r="G38" s="348">
        <f>62/D38</f>
        <v>31</v>
      </c>
      <c r="H38" s="322">
        <f t="shared" si="9"/>
        <v>0.5344827586206896</v>
      </c>
      <c r="I38" s="215">
        <v>0</v>
      </c>
      <c r="J38" s="215">
        <v>0</v>
      </c>
      <c r="K38" s="215">
        <v>0</v>
      </c>
      <c r="L38" s="48">
        <f t="shared" si="16"/>
        <v>0</v>
      </c>
      <c r="M38" s="215">
        <v>0</v>
      </c>
      <c r="N38" s="215">
        <v>0</v>
      </c>
      <c r="O38" s="422">
        <f t="shared" si="12"/>
        <v>0</v>
      </c>
      <c r="P38" s="215">
        <v>0</v>
      </c>
      <c r="Q38" s="322">
        <f t="shared" si="10"/>
        <v>0</v>
      </c>
      <c r="R38" s="215">
        <v>0</v>
      </c>
      <c r="S38" s="65">
        <f t="shared" si="11"/>
        <v>0</v>
      </c>
      <c r="T38" s="413"/>
      <c r="U38" s="414">
        <f t="shared" si="13"/>
        <v>0</v>
      </c>
      <c r="V38" s="413"/>
      <c r="W38" s="414">
        <f t="shared" si="14"/>
        <v>0</v>
      </c>
      <c r="X38" s="431"/>
      <c r="Y38" s="432">
        <f t="shared" si="15"/>
        <v>0</v>
      </c>
    </row>
    <row r="39" spans="1:25" ht="35.25" customHeight="1">
      <c r="A39" s="590"/>
      <c r="B39" s="387">
        <v>5</v>
      </c>
      <c r="C39" s="384" t="s">
        <v>4</v>
      </c>
      <c r="D39" s="384">
        <v>4</v>
      </c>
      <c r="E39" s="48">
        <f>D39/4</f>
        <v>1</v>
      </c>
      <c r="F39" s="68">
        <f>205/D39</f>
        <v>51.25</v>
      </c>
      <c r="G39" s="68">
        <f>113/D39</f>
        <v>28.25</v>
      </c>
      <c r="H39" s="65">
        <f t="shared" si="9"/>
        <v>0.4870689655172414</v>
      </c>
      <c r="I39" s="384">
        <v>0</v>
      </c>
      <c r="J39" s="384">
        <v>0</v>
      </c>
      <c r="K39" s="384">
        <v>0</v>
      </c>
      <c r="L39" s="48">
        <f t="shared" si="16"/>
        <v>0</v>
      </c>
      <c r="M39" s="384">
        <v>0</v>
      </c>
      <c r="N39" s="384">
        <v>0</v>
      </c>
      <c r="O39" s="306">
        <f t="shared" si="12"/>
        <v>0</v>
      </c>
      <c r="P39" s="106">
        <v>0</v>
      </c>
      <c r="Q39" s="421">
        <f>P39/D39</f>
        <v>0</v>
      </c>
      <c r="R39" s="384">
        <v>0</v>
      </c>
      <c r="S39" s="65">
        <f t="shared" si="11"/>
        <v>0</v>
      </c>
      <c r="T39" s="413">
        <v>3</v>
      </c>
      <c r="U39" s="414">
        <f t="shared" si="13"/>
        <v>0.75</v>
      </c>
      <c r="V39" s="413">
        <v>1</v>
      </c>
      <c r="W39" s="414">
        <f t="shared" si="14"/>
        <v>0.25</v>
      </c>
      <c r="X39" s="431">
        <v>1</v>
      </c>
      <c r="Y39" s="432">
        <f t="shared" si="15"/>
        <v>0.25</v>
      </c>
    </row>
    <row r="40" spans="1:25" ht="32.25" customHeight="1">
      <c r="A40" s="590"/>
      <c r="B40" s="387">
        <v>6</v>
      </c>
      <c r="C40" s="384" t="s">
        <v>5</v>
      </c>
      <c r="D40" s="384"/>
      <c r="E40" s="48">
        <f>D40/2</f>
        <v>0</v>
      </c>
      <c r="F40" s="68" t="e">
        <f>148/D40</f>
        <v>#DIV/0!</v>
      </c>
      <c r="G40" s="68" t="e">
        <f>90/D40</f>
        <v>#DIV/0!</v>
      </c>
      <c r="H40" s="65" t="e">
        <f t="shared" si="9"/>
        <v>#DIV/0!</v>
      </c>
      <c r="I40" s="384">
        <v>0</v>
      </c>
      <c r="J40" s="384">
        <v>0</v>
      </c>
      <c r="K40" s="384">
        <v>0</v>
      </c>
      <c r="L40" s="48">
        <f t="shared" si="16"/>
        <v>0</v>
      </c>
      <c r="M40" s="384">
        <v>0</v>
      </c>
      <c r="N40" s="384"/>
      <c r="O40" s="306" t="e">
        <f t="shared" si="12"/>
        <v>#DIV/0!</v>
      </c>
      <c r="P40" s="106"/>
      <c r="Q40" s="421" t="e">
        <f t="shared" si="10"/>
        <v>#DIV/0!</v>
      </c>
      <c r="R40" s="384">
        <v>0</v>
      </c>
      <c r="S40" s="65" t="e">
        <f t="shared" si="11"/>
        <v>#DIV/0!</v>
      </c>
      <c r="T40" s="413"/>
      <c r="U40" s="414" t="e">
        <f t="shared" si="13"/>
        <v>#DIV/0!</v>
      </c>
      <c r="V40" s="413"/>
      <c r="W40" s="414" t="e">
        <f t="shared" si="14"/>
        <v>#DIV/0!</v>
      </c>
      <c r="X40" s="431"/>
      <c r="Y40" s="432" t="e">
        <f t="shared" si="15"/>
        <v>#DIV/0!</v>
      </c>
    </row>
    <row r="41" spans="1:25" ht="15">
      <c r="A41" s="590"/>
      <c r="B41" s="290"/>
      <c r="C41" s="296" t="s">
        <v>6</v>
      </c>
      <c r="D41" s="296">
        <f>SUM(D33:D36)+D39+D40</f>
        <v>100</v>
      </c>
      <c r="E41" s="171">
        <f>D41/100</f>
        <v>1</v>
      </c>
      <c r="F41" s="287">
        <f>7036/D41</f>
        <v>70.36</v>
      </c>
      <c r="G41" s="149">
        <f>4217/D41</f>
        <v>42.17</v>
      </c>
      <c r="H41" s="83">
        <f>4217/(D41*58)</f>
        <v>0.7270689655172414</v>
      </c>
      <c r="I41" s="296">
        <v>0</v>
      </c>
      <c r="J41" s="296">
        <v>0</v>
      </c>
      <c r="K41" s="296">
        <f>SUM(K33:K40)</f>
        <v>21</v>
      </c>
      <c r="L41" s="48">
        <f t="shared" si="16"/>
        <v>1</v>
      </c>
      <c r="M41" s="149">
        <f>1506/K41</f>
        <v>71.71428571428571</v>
      </c>
      <c r="N41" s="296">
        <f>SUM(N33:N40)-N38-N37</f>
        <v>32</v>
      </c>
      <c r="O41" s="306">
        <f t="shared" si="12"/>
        <v>0.32</v>
      </c>
      <c r="P41" s="106">
        <f>P33+P34+P35+P36+P39+P40</f>
        <v>21</v>
      </c>
      <c r="Q41" s="421">
        <f t="shared" si="10"/>
        <v>0.21</v>
      </c>
      <c r="R41" s="296">
        <f>R33+R34+R35+R36+R39+R40</f>
        <v>0</v>
      </c>
      <c r="S41" s="65">
        <f t="shared" si="11"/>
        <v>0</v>
      </c>
      <c r="T41" s="413">
        <f>SUM(T33:T39)</f>
        <v>21</v>
      </c>
      <c r="U41" s="414">
        <f t="shared" si="13"/>
        <v>0.21</v>
      </c>
      <c r="V41" s="413">
        <f>SUM(V33:V39)</f>
        <v>58</v>
      </c>
      <c r="W41" s="414">
        <f t="shared" si="14"/>
        <v>0.58</v>
      </c>
      <c r="X41" s="431">
        <f>SUM(X33:X39)</f>
        <v>10</v>
      </c>
      <c r="Y41" s="432">
        <f t="shared" si="15"/>
        <v>0.1</v>
      </c>
    </row>
    <row r="42" spans="1:19" ht="15">
      <c r="A42" s="590"/>
      <c r="B42" s="290"/>
      <c r="C42" s="296" t="s">
        <v>22</v>
      </c>
      <c r="D42" s="296"/>
      <c r="E42" s="296"/>
      <c r="F42" s="296">
        <v>72.77</v>
      </c>
      <c r="G42" s="296"/>
      <c r="H42" s="296"/>
      <c r="I42" s="296"/>
      <c r="J42" s="296"/>
      <c r="K42" s="296"/>
      <c r="L42" s="296"/>
      <c r="M42" s="296"/>
      <c r="N42" s="296"/>
      <c r="O42" s="298"/>
      <c r="P42" s="296"/>
      <c r="Q42" s="296"/>
      <c r="R42" s="296"/>
      <c r="S42" s="296"/>
    </row>
    <row r="43" spans="1:25" ht="15">
      <c r="A43" s="386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4"/>
      <c r="U43" s="4"/>
      <c r="V43" s="4"/>
      <c r="W43" s="4"/>
      <c r="X43" s="4"/>
      <c r="Y43" s="4"/>
    </row>
    <row r="44" spans="1:14" ht="15">
      <c r="A44" s="195"/>
      <c r="B44" s="588" t="s">
        <v>148</v>
      </c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</row>
    <row r="45" spans="1:19" ht="18.75" customHeight="1">
      <c r="A45" s="590" t="s">
        <v>140</v>
      </c>
      <c r="B45" s="197"/>
      <c r="C45" s="197"/>
      <c r="D45" s="590" t="s">
        <v>7</v>
      </c>
      <c r="E45" s="590"/>
      <c r="F45" s="590" t="s">
        <v>39</v>
      </c>
      <c r="G45" s="592" t="s">
        <v>20</v>
      </c>
      <c r="H45" s="592" t="s">
        <v>149</v>
      </c>
      <c r="I45" s="590" t="s">
        <v>9</v>
      </c>
      <c r="J45" s="590"/>
      <c r="K45" s="590" t="s">
        <v>13</v>
      </c>
      <c r="L45" s="590"/>
      <c r="M45" s="590"/>
      <c r="N45" s="587" t="s">
        <v>180</v>
      </c>
      <c r="O45" s="587"/>
      <c r="P45" s="587" t="s">
        <v>40</v>
      </c>
      <c r="Q45" s="587"/>
      <c r="R45" s="587" t="s">
        <v>42</v>
      </c>
      <c r="S45" s="587"/>
    </row>
    <row r="46" spans="1:19" ht="120">
      <c r="A46" s="590"/>
      <c r="B46" s="197"/>
      <c r="C46" s="197"/>
      <c r="D46" s="197" t="s">
        <v>8</v>
      </c>
      <c r="E46" s="197" t="s">
        <v>11</v>
      </c>
      <c r="F46" s="590"/>
      <c r="G46" s="593"/>
      <c r="H46" s="593"/>
      <c r="I46" s="197" t="s">
        <v>8</v>
      </c>
      <c r="J46" s="197" t="s">
        <v>10</v>
      </c>
      <c r="K46" s="197" t="s">
        <v>14</v>
      </c>
      <c r="L46" s="197" t="s">
        <v>171</v>
      </c>
      <c r="M46" s="197" t="s">
        <v>15</v>
      </c>
      <c r="N46" s="293" t="s">
        <v>8</v>
      </c>
      <c r="O46" s="293" t="s">
        <v>10</v>
      </c>
      <c r="P46" s="194" t="s">
        <v>8</v>
      </c>
      <c r="Q46" s="194" t="s">
        <v>10</v>
      </c>
      <c r="R46" s="194" t="s">
        <v>8</v>
      </c>
      <c r="S46" s="194" t="s">
        <v>10</v>
      </c>
    </row>
    <row r="47" spans="1:25" s="24" customFormat="1" ht="15">
      <c r="A47" s="590"/>
      <c r="B47" s="197">
        <v>1</v>
      </c>
      <c r="C47" s="197" t="s">
        <v>0</v>
      </c>
      <c r="D47" s="198">
        <v>51</v>
      </c>
      <c r="E47" s="42">
        <f>D47/51</f>
        <v>1</v>
      </c>
      <c r="F47" s="284">
        <f>3808/D47</f>
        <v>74.66666666666667</v>
      </c>
      <c r="G47" s="200">
        <f>2290/D47</f>
        <v>44.90196078431372</v>
      </c>
      <c r="H47" s="199">
        <f aca="true" t="shared" si="17" ref="H47:H54">G47/58</f>
        <v>0.7741717376605814</v>
      </c>
      <c r="I47" s="197">
        <v>0</v>
      </c>
      <c r="J47" s="197">
        <v>0</v>
      </c>
      <c r="K47" s="197">
        <v>0</v>
      </c>
      <c r="L47" s="197">
        <v>0</v>
      </c>
      <c r="M47" s="200">
        <v>0</v>
      </c>
      <c r="N47" s="293">
        <v>26</v>
      </c>
      <c r="O47" s="63">
        <f>N47/D47</f>
        <v>0.5098039215686274</v>
      </c>
      <c r="P47" s="194">
        <v>17</v>
      </c>
      <c r="Q47" s="65">
        <f aca="true" t="shared" si="18" ref="Q47:Q55">P47/D47</f>
        <v>0.3333333333333333</v>
      </c>
      <c r="R47" s="194">
        <v>0</v>
      </c>
      <c r="S47" s="65">
        <f>R47/D47</f>
        <v>0</v>
      </c>
      <c r="T47" s="1"/>
      <c r="U47" s="1"/>
      <c r="V47" s="1"/>
      <c r="W47" s="1"/>
      <c r="X47" s="1"/>
      <c r="Y47" s="1"/>
    </row>
    <row r="48" spans="1:25" s="150" customFormat="1" ht="15">
      <c r="A48" s="590"/>
      <c r="B48" s="197">
        <v>2</v>
      </c>
      <c r="C48" s="197" t="s">
        <v>1</v>
      </c>
      <c r="D48" s="198">
        <v>19</v>
      </c>
      <c r="E48" s="42">
        <f>D48/19</f>
        <v>1</v>
      </c>
      <c r="F48" s="285">
        <f>1345/D48</f>
        <v>70.78947368421052</v>
      </c>
      <c r="G48" s="200">
        <f>813/D48</f>
        <v>42.78947368421053</v>
      </c>
      <c r="H48" s="199">
        <f t="shared" si="17"/>
        <v>0.7377495462794919</v>
      </c>
      <c r="I48" s="197">
        <v>0</v>
      </c>
      <c r="J48" s="197">
        <v>0</v>
      </c>
      <c r="K48" s="197">
        <v>0</v>
      </c>
      <c r="L48" s="197">
        <v>0</v>
      </c>
      <c r="M48" s="200">
        <v>0</v>
      </c>
      <c r="N48" s="293">
        <v>7</v>
      </c>
      <c r="O48" s="295">
        <f aca="true" t="shared" si="19" ref="O48:O55">N48/D48</f>
        <v>0.3684210526315789</v>
      </c>
      <c r="P48" s="194">
        <v>4</v>
      </c>
      <c r="Q48" s="65">
        <f t="shared" si="18"/>
        <v>0.21052631578947367</v>
      </c>
      <c r="R48" s="194">
        <v>0</v>
      </c>
      <c r="S48" s="65">
        <f aca="true" t="shared" si="20" ref="S48:S55">R48/D48</f>
        <v>0</v>
      </c>
      <c r="T48" s="1"/>
      <c r="U48" s="1"/>
      <c r="V48" s="1"/>
      <c r="W48" s="1"/>
      <c r="X48" s="1"/>
      <c r="Y48" s="1"/>
    </row>
    <row r="49" spans="1:19" ht="34.5" customHeight="1">
      <c r="A49" s="590"/>
      <c r="B49" s="197">
        <v>3</v>
      </c>
      <c r="C49" s="197" t="s">
        <v>2</v>
      </c>
      <c r="D49" s="198">
        <v>26</v>
      </c>
      <c r="E49" s="42">
        <f>D49/26</f>
        <v>1</v>
      </c>
      <c r="F49" s="285">
        <f>1851/D49</f>
        <v>71.1923076923077</v>
      </c>
      <c r="G49" s="200">
        <f>1107/D49</f>
        <v>42.57692307692308</v>
      </c>
      <c r="H49" s="199">
        <f t="shared" si="17"/>
        <v>0.7340848806366048</v>
      </c>
      <c r="I49" s="197">
        <v>0</v>
      </c>
      <c r="J49" s="197">
        <v>0</v>
      </c>
      <c r="K49" s="197">
        <v>20</v>
      </c>
      <c r="L49" s="7">
        <v>1</v>
      </c>
      <c r="M49" s="284">
        <f>(1300+87)/K49</f>
        <v>69.35</v>
      </c>
      <c r="N49" s="293">
        <v>10</v>
      </c>
      <c r="O49" s="63">
        <f t="shared" si="19"/>
        <v>0.38461538461538464</v>
      </c>
      <c r="P49" s="194">
        <v>8</v>
      </c>
      <c r="Q49" s="84">
        <f t="shared" si="18"/>
        <v>0.3076923076923077</v>
      </c>
      <c r="R49" s="194">
        <v>0</v>
      </c>
      <c r="S49" s="65">
        <f t="shared" si="20"/>
        <v>0</v>
      </c>
    </row>
    <row r="50" spans="1:25" ht="15">
      <c r="A50" s="590"/>
      <c r="B50" s="197">
        <v>4</v>
      </c>
      <c r="C50" s="197" t="s">
        <v>3</v>
      </c>
      <c r="D50" s="198">
        <v>25</v>
      </c>
      <c r="E50" s="42">
        <f>D50/25</f>
        <v>1</v>
      </c>
      <c r="F50" s="284">
        <f>1674/D50</f>
        <v>66.96</v>
      </c>
      <c r="G50" s="200">
        <f>989/D50</f>
        <v>39.56</v>
      </c>
      <c r="H50" s="199">
        <f t="shared" si="17"/>
        <v>0.6820689655172414</v>
      </c>
      <c r="I50" s="197">
        <v>0</v>
      </c>
      <c r="J50" s="197">
        <v>0</v>
      </c>
      <c r="K50" s="197">
        <v>0</v>
      </c>
      <c r="L50" s="197">
        <v>0</v>
      </c>
      <c r="M50" s="200">
        <v>0</v>
      </c>
      <c r="N50" s="293">
        <v>9</v>
      </c>
      <c r="O50" s="63">
        <f t="shared" si="19"/>
        <v>0.36</v>
      </c>
      <c r="P50" s="194">
        <v>5</v>
      </c>
      <c r="Q50" s="84">
        <f t="shared" si="18"/>
        <v>0.2</v>
      </c>
      <c r="R50" s="194">
        <v>1</v>
      </c>
      <c r="S50" s="65">
        <f t="shared" si="20"/>
        <v>0.04</v>
      </c>
      <c r="T50" s="40"/>
      <c r="U50" s="40"/>
      <c r="V50" s="40"/>
      <c r="W50" s="40"/>
      <c r="X50" s="40"/>
      <c r="Y50" s="40"/>
    </row>
    <row r="51" spans="1:19" ht="15">
      <c r="A51" s="590"/>
      <c r="B51" s="197"/>
      <c r="C51" s="173" t="s">
        <v>37</v>
      </c>
      <c r="D51" s="213">
        <v>21</v>
      </c>
      <c r="E51" s="214">
        <v>1</v>
      </c>
      <c r="F51" s="286">
        <f>1457/D51</f>
        <v>69.38095238095238</v>
      </c>
      <c r="G51" s="177">
        <f>868/D51</f>
        <v>41.333333333333336</v>
      </c>
      <c r="H51" s="174">
        <f t="shared" si="17"/>
        <v>0.7126436781609196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215">
        <v>9</v>
      </c>
      <c r="O51" s="318">
        <f t="shared" si="19"/>
        <v>0.42857142857142855</v>
      </c>
      <c r="P51" s="215">
        <v>5</v>
      </c>
      <c r="Q51" s="216">
        <f t="shared" si="18"/>
        <v>0.23809523809523808</v>
      </c>
      <c r="R51" s="215">
        <v>1</v>
      </c>
      <c r="S51" s="65">
        <f>R51/D51</f>
        <v>0.047619047619047616</v>
      </c>
    </row>
    <row r="52" spans="1:19" ht="15">
      <c r="A52" s="590"/>
      <c r="B52" s="197"/>
      <c r="C52" s="173" t="s">
        <v>38</v>
      </c>
      <c r="D52" s="213">
        <v>4</v>
      </c>
      <c r="E52" s="214">
        <v>1</v>
      </c>
      <c r="F52" s="286">
        <f>217/D52</f>
        <v>54.25</v>
      </c>
      <c r="G52" s="177">
        <v>25</v>
      </c>
      <c r="H52" s="174">
        <f t="shared" si="17"/>
        <v>0.43103448275862066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215">
        <v>0</v>
      </c>
      <c r="O52" s="318">
        <f t="shared" si="19"/>
        <v>0</v>
      </c>
      <c r="P52" s="215">
        <v>0</v>
      </c>
      <c r="Q52" s="216">
        <f t="shared" si="18"/>
        <v>0</v>
      </c>
      <c r="R52" s="215">
        <v>0</v>
      </c>
      <c r="S52" s="65">
        <f t="shared" si="20"/>
        <v>0</v>
      </c>
    </row>
    <row r="53" spans="1:19" ht="30">
      <c r="A53" s="590"/>
      <c r="B53" s="197">
        <v>5</v>
      </c>
      <c r="C53" s="197" t="s">
        <v>4</v>
      </c>
      <c r="D53" s="197">
        <v>0</v>
      </c>
      <c r="E53" s="7">
        <f>D53/2</f>
        <v>0</v>
      </c>
      <c r="F53" s="200" t="e">
        <f>132/D53</f>
        <v>#DIV/0!</v>
      </c>
      <c r="G53" s="200" t="e">
        <f>76/D53</f>
        <v>#DIV/0!</v>
      </c>
      <c r="H53" s="199" t="e">
        <f t="shared" si="17"/>
        <v>#DIV/0!</v>
      </c>
      <c r="I53" s="197">
        <v>0</v>
      </c>
      <c r="J53" s="197">
        <v>0</v>
      </c>
      <c r="K53" s="197"/>
      <c r="L53" s="197"/>
      <c r="M53" s="197"/>
      <c r="N53" s="293">
        <v>0</v>
      </c>
      <c r="O53" s="295" t="e">
        <f t="shared" si="19"/>
        <v>#DIV/0!</v>
      </c>
      <c r="P53" s="194">
        <v>0</v>
      </c>
      <c r="Q53" s="84" t="e">
        <f t="shared" si="18"/>
        <v>#DIV/0!</v>
      </c>
      <c r="R53" s="194">
        <v>0</v>
      </c>
      <c r="S53" s="65" t="e">
        <f t="shared" si="20"/>
        <v>#DIV/0!</v>
      </c>
    </row>
    <row r="54" spans="1:19" ht="45">
      <c r="A54" s="590"/>
      <c r="B54" s="197">
        <v>6</v>
      </c>
      <c r="C54" s="197" t="s">
        <v>5</v>
      </c>
      <c r="D54" s="197">
        <v>2</v>
      </c>
      <c r="E54" s="7">
        <f>D54/2</f>
        <v>1</v>
      </c>
      <c r="F54" s="284">
        <f>148/D54</f>
        <v>74</v>
      </c>
      <c r="G54" s="200">
        <f>90/D54</f>
        <v>45</v>
      </c>
      <c r="H54" s="199">
        <f t="shared" si="17"/>
        <v>0.7758620689655172</v>
      </c>
      <c r="I54" s="197">
        <v>0</v>
      </c>
      <c r="J54" s="197">
        <v>0</v>
      </c>
      <c r="K54" s="197">
        <v>0</v>
      </c>
      <c r="L54" s="197">
        <v>0</v>
      </c>
      <c r="M54" s="197">
        <v>0</v>
      </c>
      <c r="N54" s="293">
        <v>1</v>
      </c>
      <c r="O54" s="295">
        <f t="shared" si="19"/>
        <v>0.5</v>
      </c>
      <c r="P54" s="194">
        <v>1</v>
      </c>
      <c r="Q54" s="84">
        <f t="shared" si="18"/>
        <v>0.5</v>
      </c>
      <c r="R54" s="194">
        <v>0</v>
      </c>
      <c r="S54" s="65">
        <f t="shared" si="20"/>
        <v>0</v>
      </c>
    </row>
    <row r="55" spans="1:19" ht="15">
      <c r="A55" s="590"/>
      <c r="B55" s="6"/>
      <c r="C55" s="6" t="s">
        <v>6</v>
      </c>
      <c r="D55" s="6">
        <f>SUM(D47:D50)+D53+D54</f>
        <v>123</v>
      </c>
      <c r="E55" s="10">
        <f>D55/123</f>
        <v>1</v>
      </c>
      <c r="F55" s="283">
        <f>8826/D55</f>
        <v>71.7560975609756</v>
      </c>
      <c r="G55" s="67">
        <f>5289/D55</f>
        <v>43</v>
      </c>
      <c r="H55" s="13">
        <f>5289/(D55*58)</f>
        <v>0.7413793103448276</v>
      </c>
      <c r="I55" s="6">
        <v>0</v>
      </c>
      <c r="J55" s="6">
        <v>0</v>
      </c>
      <c r="K55" s="6"/>
      <c r="L55" s="13"/>
      <c r="M55" s="67"/>
      <c r="N55" s="281">
        <f>SUM(N47:N54)-N52-N51</f>
        <v>53</v>
      </c>
      <c r="O55" s="319">
        <f t="shared" si="19"/>
        <v>0.43089430894308944</v>
      </c>
      <c r="P55" s="281">
        <f>P47+P48+P49+P50+P53+P54</f>
        <v>35</v>
      </c>
      <c r="Q55" s="320">
        <f t="shared" si="18"/>
        <v>0.2845528455284553</v>
      </c>
      <c r="R55" s="50">
        <f>R47+R48+R49+R50+R53+R54</f>
        <v>1</v>
      </c>
      <c r="S55" s="65">
        <f t="shared" si="20"/>
        <v>0.008130081300813009</v>
      </c>
    </row>
    <row r="56" spans="1:19" ht="15">
      <c r="A56" s="590"/>
      <c r="B56" s="6"/>
      <c r="C56" s="6" t="s">
        <v>22</v>
      </c>
      <c r="D56" s="6"/>
      <c r="E56" s="6"/>
      <c r="F56" s="6">
        <v>72.74</v>
      </c>
      <c r="G56" s="6"/>
      <c r="H56" s="6"/>
      <c r="I56" s="6"/>
      <c r="J56" s="6"/>
      <c r="K56" s="6"/>
      <c r="L56" s="6"/>
      <c r="M56" s="6"/>
      <c r="N56" s="296"/>
      <c r="O56" s="298"/>
      <c r="P56" s="50"/>
      <c r="Q56" s="50"/>
      <c r="R56" s="50"/>
      <c r="S56" s="50"/>
    </row>
    <row r="57" spans="1:19" ht="15">
      <c r="A57" s="598" t="s">
        <v>138</v>
      </c>
      <c r="B57" s="5"/>
      <c r="C57" s="5"/>
      <c r="D57" s="590" t="s">
        <v>7</v>
      </c>
      <c r="E57" s="590"/>
      <c r="F57" s="590" t="s">
        <v>39</v>
      </c>
      <c r="G57" s="592" t="s">
        <v>20</v>
      </c>
      <c r="H57" s="592" t="s">
        <v>41</v>
      </c>
      <c r="I57" s="590" t="s">
        <v>9</v>
      </c>
      <c r="J57" s="590"/>
      <c r="K57" s="590" t="s">
        <v>13</v>
      </c>
      <c r="L57" s="590"/>
      <c r="M57" s="590"/>
      <c r="N57" s="587" t="s">
        <v>131</v>
      </c>
      <c r="O57" s="587"/>
      <c r="P57" s="587" t="s">
        <v>40</v>
      </c>
      <c r="Q57" s="587"/>
      <c r="R57" s="587" t="s">
        <v>42</v>
      </c>
      <c r="S57" s="587"/>
    </row>
    <row r="58" spans="1:19" ht="120">
      <c r="A58" s="590"/>
      <c r="B58" s="5"/>
      <c r="C58" s="5"/>
      <c r="D58" s="5" t="s">
        <v>8</v>
      </c>
      <c r="E58" s="5" t="s">
        <v>11</v>
      </c>
      <c r="F58" s="590"/>
      <c r="G58" s="593"/>
      <c r="H58" s="593"/>
      <c r="I58" s="5" t="s">
        <v>8</v>
      </c>
      <c r="J58" s="5" t="s">
        <v>10</v>
      </c>
      <c r="K58" s="5" t="s">
        <v>14</v>
      </c>
      <c r="L58" s="5" t="s">
        <v>12</v>
      </c>
      <c r="M58" s="5" t="s">
        <v>15</v>
      </c>
      <c r="N58" s="293" t="s">
        <v>8</v>
      </c>
      <c r="O58" s="293" t="s">
        <v>10</v>
      </c>
      <c r="P58" s="58" t="s">
        <v>8</v>
      </c>
      <c r="Q58" s="58" t="s">
        <v>10</v>
      </c>
      <c r="R58" s="58" t="s">
        <v>8</v>
      </c>
      <c r="S58" s="58" t="s">
        <v>10</v>
      </c>
    </row>
    <row r="59" spans="1:19" ht="15">
      <c r="A59" s="590"/>
      <c r="B59" s="5">
        <v>1</v>
      </c>
      <c r="C59" s="5" t="s">
        <v>0</v>
      </c>
      <c r="D59" s="59">
        <v>25</v>
      </c>
      <c r="E59" s="42">
        <f>D59/25</f>
        <v>1</v>
      </c>
      <c r="F59" s="5">
        <f>1831/D59</f>
        <v>73.24</v>
      </c>
      <c r="G59" s="56">
        <f>1096/D59</f>
        <v>43.84</v>
      </c>
      <c r="H59" s="7">
        <f aca="true" t="shared" si="21" ref="H59:H66">G59/57</f>
        <v>0.7691228070175439</v>
      </c>
      <c r="I59" s="5">
        <v>0</v>
      </c>
      <c r="J59" s="5">
        <v>0</v>
      </c>
      <c r="K59" s="91"/>
      <c r="L59" s="91"/>
      <c r="M59" s="91"/>
      <c r="N59" s="293">
        <v>16</v>
      </c>
      <c r="O59" s="63">
        <f>N59/D59</f>
        <v>0.64</v>
      </c>
      <c r="P59" s="58">
        <v>9</v>
      </c>
      <c r="Q59" s="49">
        <f aca="true" t="shared" si="22" ref="Q59:Q67">P59/D59</f>
        <v>0.36</v>
      </c>
      <c r="R59" s="58">
        <v>0</v>
      </c>
      <c r="S59" s="58"/>
    </row>
    <row r="60" spans="1:25" ht="15">
      <c r="A60" s="590"/>
      <c r="B60" s="5">
        <v>2</v>
      </c>
      <c r="C60" s="5" t="s">
        <v>1</v>
      </c>
      <c r="D60" s="59">
        <v>20</v>
      </c>
      <c r="E60" s="42">
        <f>D60/20</f>
        <v>1</v>
      </c>
      <c r="F60" s="5">
        <f>1492/D60</f>
        <v>74.6</v>
      </c>
      <c r="G60" s="56">
        <f>895/D60</f>
        <v>44.75</v>
      </c>
      <c r="H60" s="8">
        <f t="shared" si="21"/>
        <v>0.7850877192982456</v>
      </c>
      <c r="I60" s="5">
        <v>0</v>
      </c>
      <c r="J60" s="5">
        <v>0</v>
      </c>
      <c r="K60" s="5"/>
      <c r="L60" s="5"/>
      <c r="M60" s="5"/>
      <c r="N60" s="293">
        <v>12</v>
      </c>
      <c r="O60" s="295">
        <f aca="true" t="shared" si="23" ref="O60:O67">N60/D60</f>
        <v>0.6</v>
      </c>
      <c r="P60" s="58">
        <v>7</v>
      </c>
      <c r="Q60" s="49">
        <f t="shared" si="22"/>
        <v>0.35</v>
      </c>
      <c r="R60" s="58">
        <v>0</v>
      </c>
      <c r="S60" s="58"/>
      <c r="T60" s="24"/>
      <c r="U60" s="24"/>
      <c r="V60" s="24"/>
      <c r="W60" s="24"/>
      <c r="X60" s="24"/>
      <c r="Y60" s="24"/>
    </row>
    <row r="61" spans="1:25" ht="15">
      <c r="A61" s="590"/>
      <c r="B61" s="5">
        <v>3</v>
      </c>
      <c r="C61" s="5" t="s">
        <v>2</v>
      </c>
      <c r="D61" s="59">
        <v>27</v>
      </c>
      <c r="E61" s="42">
        <f>D61/27</f>
        <v>1</v>
      </c>
      <c r="F61" s="11">
        <f>1934/D61</f>
        <v>71.62962962962963</v>
      </c>
      <c r="G61" s="11">
        <f>1165/D61</f>
        <v>43.148148148148145</v>
      </c>
      <c r="H61" s="8">
        <f t="shared" si="21"/>
        <v>0.7569850552306692</v>
      </c>
      <c r="I61" s="5">
        <v>0</v>
      </c>
      <c r="J61" s="5">
        <v>0</v>
      </c>
      <c r="K61" s="5">
        <v>18</v>
      </c>
      <c r="L61" s="7">
        <v>1</v>
      </c>
      <c r="M61" s="11">
        <f>1265/K61</f>
        <v>70.27777777777777</v>
      </c>
      <c r="N61" s="293">
        <v>11</v>
      </c>
      <c r="O61" s="63">
        <f t="shared" si="23"/>
        <v>0.4074074074074074</v>
      </c>
      <c r="P61" s="58">
        <v>5</v>
      </c>
      <c r="Q61" s="63">
        <f t="shared" si="22"/>
        <v>0.18518518518518517</v>
      </c>
      <c r="R61" s="58">
        <v>0</v>
      </c>
      <c r="S61" s="58"/>
      <c r="T61" s="150"/>
      <c r="U61" s="150"/>
      <c r="V61" s="150"/>
      <c r="W61" s="150"/>
      <c r="X61" s="150"/>
      <c r="Y61" s="150"/>
    </row>
    <row r="62" spans="1:19" ht="15">
      <c r="A62" s="590"/>
      <c r="B62" s="5">
        <v>4</v>
      </c>
      <c r="C62" s="5" t="s">
        <v>3</v>
      </c>
      <c r="D62" s="59">
        <v>28</v>
      </c>
      <c r="E62" s="42">
        <f>D62/28</f>
        <v>1</v>
      </c>
      <c r="F62" s="11">
        <f>1836/D62</f>
        <v>65.57142857142857</v>
      </c>
      <c r="G62" s="11">
        <f>1076/D62</f>
        <v>38.42857142857143</v>
      </c>
      <c r="H62" s="7">
        <f t="shared" si="21"/>
        <v>0.6741854636591479</v>
      </c>
      <c r="I62" s="5">
        <v>0</v>
      </c>
      <c r="J62" s="5">
        <v>0</v>
      </c>
      <c r="K62" s="5"/>
      <c r="L62" s="5"/>
      <c r="M62" s="5"/>
      <c r="N62" s="293">
        <v>8</v>
      </c>
      <c r="O62" s="63">
        <f t="shared" si="23"/>
        <v>0.2857142857142857</v>
      </c>
      <c r="P62" s="58">
        <v>4</v>
      </c>
      <c r="Q62" s="63">
        <f t="shared" si="22"/>
        <v>0.14285714285714285</v>
      </c>
      <c r="R62" s="58">
        <v>0</v>
      </c>
      <c r="S62" s="58"/>
    </row>
    <row r="63" spans="1:19" ht="15">
      <c r="A63" s="590"/>
      <c r="B63" s="56"/>
      <c r="C63" s="62" t="s">
        <v>37</v>
      </c>
      <c r="D63" s="59">
        <v>27</v>
      </c>
      <c r="E63" s="42">
        <v>1</v>
      </c>
      <c r="F63" s="11">
        <f>(1836-48)/D63</f>
        <v>66.22222222222223</v>
      </c>
      <c r="G63" s="11">
        <f>(1076-25)/D63</f>
        <v>38.925925925925924</v>
      </c>
      <c r="H63" s="8">
        <f t="shared" si="21"/>
        <v>0.6829109811565952</v>
      </c>
      <c r="I63" s="56">
        <v>0</v>
      </c>
      <c r="J63" s="56">
        <v>0</v>
      </c>
      <c r="K63" s="56"/>
      <c r="L63" s="56"/>
      <c r="M63" s="56"/>
      <c r="N63" s="293">
        <v>8</v>
      </c>
      <c r="O63" s="63">
        <f t="shared" si="23"/>
        <v>0.2962962962962963</v>
      </c>
      <c r="P63" s="58">
        <v>4</v>
      </c>
      <c r="Q63" s="63">
        <f t="shared" si="22"/>
        <v>0.14814814814814814</v>
      </c>
      <c r="R63" s="58">
        <v>0</v>
      </c>
      <c r="S63" s="58"/>
    </row>
    <row r="64" spans="1:19" ht="124.5" customHeight="1">
      <c r="A64" s="590"/>
      <c r="B64" s="56"/>
      <c r="C64" s="62" t="s">
        <v>38</v>
      </c>
      <c r="D64" s="59">
        <v>1</v>
      </c>
      <c r="E64" s="42">
        <v>1</v>
      </c>
      <c r="F64" s="56">
        <v>48</v>
      </c>
      <c r="G64" s="56">
        <v>25</v>
      </c>
      <c r="H64" s="7">
        <f t="shared" si="21"/>
        <v>0.43859649122807015</v>
      </c>
      <c r="I64" s="56">
        <v>0</v>
      </c>
      <c r="J64" s="56">
        <v>0</v>
      </c>
      <c r="K64" s="56"/>
      <c r="L64" s="56"/>
      <c r="M64" s="56"/>
      <c r="N64" s="293">
        <v>0</v>
      </c>
      <c r="O64" s="63">
        <f t="shared" si="23"/>
        <v>0</v>
      </c>
      <c r="P64" s="58">
        <v>0</v>
      </c>
      <c r="Q64" s="63">
        <f t="shared" si="22"/>
        <v>0</v>
      </c>
      <c r="R64" s="58">
        <v>0</v>
      </c>
      <c r="S64" s="58"/>
    </row>
    <row r="65" spans="1:19" ht="75.75" customHeight="1">
      <c r="A65" s="590"/>
      <c r="B65" s="5">
        <v>5</v>
      </c>
      <c r="C65" s="5" t="s">
        <v>4</v>
      </c>
      <c r="D65" s="5">
        <v>2</v>
      </c>
      <c r="E65" s="7">
        <f>D65/2</f>
        <v>1</v>
      </c>
      <c r="F65" s="5">
        <f>132/D65</f>
        <v>66</v>
      </c>
      <c r="G65" s="56">
        <f>76/D65</f>
        <v>38</v>
      </c>
      <c r="H65" s="7">
        <f t="shared" si="21"/>
        <v>0.6666666666666666</v>
      </c>
      <c r="I65" s="5">
        <v>0</v>
      </c>
      <c r="J65" s="5">
        <v>0</v>
      </c>
      <c r="K65" s="5"/>
      <c r="L65" s="5"/>
      <c r="M65" s="5"/>
      <c r="N65" s="293">
        <v>1</v>
      </c>
      <c r="O65" s="295">
        <f t="shared" si="23"/>
        <v>0.5</v>
      </c>
      <c r="P65" s="58">
        <v>1</v>
      </c>
      <c r="Q65" s="63">
        <f t="shared" si="22"/>
        <v>0.5</v>
      </c>
      <c r="R65" s="58">
        <v>0</v>
      </c>
      <c r="S65" s="58"/>
    </row>
    <row r="66" spans="1:19" ht="79.5" customHeight="1">
      <c r="A66" s="590"/>
      <c r="B66" s="5">
        <v>6</v>
      </c>
      <c r="C66" s="5" t="s">
        <v>5</v>
      </c>
      <c r="D66" s="5">
        <v>5</v>
      </c>
      <c r="E66" s="7">
        <f>D66/5</f>
        <v>1</v>
      </c>
      <c r="F66" s="5">
        <f>361/D66</f>
        <v>72.2</v>
      </c>
      <c r="G66" s="56">
        <f>219/D66</f>
        <v>43.8</v>
      </c>
      <c r="H66" s="8">
        <f t="shared" si="21"/>
        <v>0.7684210526315789</v>
      </c>
      <c r="I66" s="5">
        <v>0</v>
      </c>
      <c r="J66" s="5">
        <v>0</v>
      </c>
      <c r="K66" s="5"/>
      <c r="L66" s="5"/>
      <c r="M66" s="5"/>
      <c r="N66" s="293">
        <v>2</v>
      </c>
      <c r="O66" s="295">
        <f t="shared" si="23"/>
        <v>0.4</v>
      </c>
      <c r="P66" s="58">
        <v>1</v>
      </c>
      <c r="Q66" s="63">
        <f t="shared" si="22"/>
        <v>0.2</v>
      </c>
      <c r="R66" s="58"/>
      <c r="S66" s="58"/>
    </row>
    <row r="67" spans="1:19" ht="201.75" customHeight="1">
      <c r="A67" s="590"/>
      <c r="B67" s="6"/>
      <c r="C67" s="6" t="s">
        <v>6</v>
      </c>
      <c r="D67" s="6">
        <f>SUM(D59:D62)+D65+D66</f>
        <v>107</v>
      </c>
      <c r="E67" s="10">
        <f>107/107</f>
        <v>1</v>
      </c>
      <c r="F67" s="21">
        <f>7586/D67</f>
        <v>70.89719626168224</v>
      </c>
      <c r="G67" s="21">
        <f>4527/D67</f>
        <v>42.308411214953274</v>
      </c>
      <c r="H67" s="9">
        <f>4527/(D67*57)</f>
        <v>0.7422528283325135</v>
      </c>
      <c r="I67" s="6">
        <v>0</v>
      </c>
      <c r="J67" s="6">
        <v>0</v>
      </c>
      <c r="K67" s="6"/>
      <c r="L67" s="6"/>
      <c r="M67" s="6"/>
      <c r="N67" s="296">
        <f>SUM(N59:N66)-N64-N63</f>
        <v>50</v>
      </c>
      <c r="O67" s="306">
        <f t="shared" si="23"/>
        <v>0.4672897196261682</v>
      </c>
      <c r="P67" s="50">
        <v>27</v>
      </c>
      <c r="Q67" s="63">
        <f t="shared" si="22"/>
        <v>0.2523364485981308</v>
      </c>
      <c r="R67" s="50">
        <v>0</v>
      </c>
      <c r="S67" s="50"/>
    </row>
    <row r="68" spans="1:19" ht="83.25" customHeight="1">
      <c r="A68" s="590"/>
      <c r="B68" s="6"/>
      <c r="C68" s="6" t="s">
        <v>22</v>
      </c>
      <c r="D68" s="6"/>
      <c r="E68" s="6"/>
      <c r="F68" s="6">
        <v>71.94</v>
      </c>
      <c r="G68" s="6"/>
      <c r="H68" s="6"/>
      <c r="I68" s="6"/>
      <c r="J68" s="6"/>
      <c r="K68" s="6"/>
      <c r="L68" s="6"/>
      <c r="M68" s="6"/>
      <c r="N68" s="296"/>
      <c r="O68" s="298">
        <v>0.4676</v>
      </c>
      <c r="P68" s="50"/>
      <c r="Q68" s="50"/>
      <c r="R68" s="50"/>
      <c r="S68" s="50"/>
    </row>
    <row r="69" ht="122.25" customHeight="1"/>
    <row r="70" ht="84.75" customHeight="1"/>
    <row r="72" ht="105" customHeight="1"/>
    <row r="73" ht="66.75" customHeight="1">
      <c r="A73" s="195"/>
    </row>
    <row r="74" ht="45" customHeight="1"/>
    <row r="75" spans="2:19" ht="15">
      <c r="B75" s="634" t="s">
        <v>150</v>
      </c>
      <c r="C75" s="634"/>
      <c r="D75" s="634"/>
      <c r="E75" s="634"/>
      <c r="F75" s="634"/>
      <c r="G75" s="634"/>
      <c r="H75" s="634"/>
      <c r="I75" s="634"/>
      <c r="J75" s="634"/>
      <c r="K75" s="634"/>
      <c r="L75" s="278"/>
      <c r="M75" s="278"/>
      <c r="N75" s="278"/>
      <c r="O75" s="278"/>
      <c r="P75" s="278"/>
      <c r="Q75" s="278"/>
      <c r="R75" s="278"/>
      <c r="S75" s="278"/>
    </row>
    <row r="76" spans="2:12" ht="15">
      <c r="B76" s="41"/>
      <c r="C76" s="41"/>
      <c r="D76" s="599" t="s">
        <v>7</v>
      </c>
      <c r="E76" s="599"/>
      <c r="F76" s="635" t="s">
        <v>66</v>
      </c>
      <c r="G76" s="635"/>
      <c r="H76" s="635" t="s">
        <v>67</v>
      </c>
      <c r="I76" s="635"/>
      <c r="J76" s="599" t="s">
        <v>68</v>
      </c>
      <c r="K76" s="599"/>
      <c r="L76" s="40"/>
    </row>
    <row r="77" spans="2:12" ht="120">
      <c r="B77" s="41"/>
      <c r="C77" s="41"/>
      <c r="D77" s="41" t="s">
        <v>8</v>
      </c>
      <c r="E77" s="41" t="s">
        <v>11</v>
      </c>
      <c r="F77" s="41" t="s">
        <v>8</v>
      </c>
      <c r="G77" s="41" t="s">
        <v>25</v>
      </c>
      <c r="H77" s="41" t="s">
        <v>8</v>
      </c>
      <c r="I77" s="41" t="s">
        <v>25</v>
      </c>
      <c r="J77" s="41" t="s">
        <v>8</v>
      </c>
      <c r="K77" s="41" t="s">
        <v>25</v>
      </c>
      <c r="L77" s="40"/>
    </row>
    <row r="78" spans="2:12" ht="15">
      <c r="B78" s="41">
        <v>1</v>
      </c>
      <c r="C78" s="41" t="s">
        <v>0</v>
      </c>
      <c r="D78" s="41">
        <v>51</v>
      </c>
      <c r="E78" s="42">
        <f>D78/51</f>
        <v>1</v>
      </c>
      <c r="F78" s="41">
        <v>6</v>
      </c>
      <c r="G78" s="43">
        <f aca="true" t="shared" si="24" ref="G78:G84">F78/D78</f>
        <v>0.11764705882352941</v>
      </c>
      <c r="H78" s="41">
        <v>28</v>
      </c>
      <c r="I78" s="43">
        <f aca="true" t="shared" si="25" ref="I78:I84">H78/D78</f>
        <v>0.5490196078431373</v>
      </c>
      <c r="J78" s="41">
        <v>17</v>
      </c>
      <c r="K78" s="43">
        <f aca="true" t="shared" si="26" ref="K78:K84">J78/D78</f>
        <v>0.3333333333333333</v>
      </c>
      <c r="L78" s="40"/>
    </row>
    <row r="79" spans="2:12" ht="15">
      <c r="B79" s="41">
        <v>2</v>
      </c>
      <c r="C79" s="41" t="s">
        <v>1</v>
      </c>
      <c r="D79" s="41">
        <v>19</v>
      </c>
      <c r="E79" s="42">
        <f>D79/19</f>
        <v>1</v>
      </c>
      <c r="F79" s="41">
        <v>1</v>
      </c>
      <c r="G79" s="43">
        <f t="shared" si="24"/>
        <v>0.05263157894736842</v>
      </c>
      <c r="H79" s="41">
        <v>15</v>
      </c>
      <c r="I79" s="43">
        <f t="shared" si="25"/>
        <v>0.7894736842105263</v>
      </c>
      <c r="J79" s="41">
        <v>3</v>
      </c>
      <c r="K79" s="43">
        <f t="shared" si="26"/>
        <v>0.15789473684210525</v>
      </c>
      <c r="L79" s="40"/>
    </row>
    <row r="80" spans="2:12" ht="15">
      <c r="B80" s="41">
        <v>3</v>
      </c>
      <c r="C80" s="41" t="s">
        <v>2</v>
      </c>
      <c r="D80" s="41">
        <v>26</v>
      </c>
      <c r="E80" s="42">
        <f>D80/26</f>
        <v>1</v>
      </c>
      <c r="F80" s="41">
        <v>5</v>
      </c>
      <c r="G80" s="43">
        <f t="shared" si="24"/>
        <v>0.19230769230769232</v>
      </c>
      <c r="H80" s="41">
        <v>15</v>
      </c>
      <c r="I80" s="43">
        <f t="shared" si="25"/>
        <v>0.5769230769230769</v>
      </c>
      <c r="J80" s="41">
        <v>6</v>
      </c>
      <c r="K80" s="43">
        <f t="shared" si="26"/>
        <v>0.23076923076923078</v>
      </c>
      <c r="L80" s="40"/>
    </row>
    <row r="81" spans="1:25" s="436" customFormat="1" ht="15">
      <c r="A81" s="196"/>
      <c r="B81" s="41">
        <v>4</v>
      </c>
      <c r="C81" s="41" t="s">
        <v>3</v>
      </c>
      <c r="D81" s="41">
        <v>25</v>
      </c>
      <c r="E81" s="42">
        <f>D81/28</f>
        <v>0.8928571428571429</v>
      </c>
      <c r="F81" s="41">
        <v>8</v>
      </c>
      <c r="G81" s="43">
        <f t="shared" si="24"/>
        <v>0.32</v>
      </c>
      <c r="H81" s="41">
        <v>12</v>
      </c>
      <c r="I81" s="43">
        <f t="shared" si="25"/>
        <v>0.48</v>
      </c>
      <c r="J81" s="41">
        <v>5</v>
      </c>
      <c r="K81" s="43">
        <f t="shared" si="26"/>
        <v>0.2</v>
      </c>
      <c r="L81" s="4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12" ht="30">
      <c r="B82" s="41">
        <v>5</v>
      </c>
      <c r="C82" s="41" t="s">
        <v>4</v>
      </c>
      <c r="D82" s="41">
        <v>0</v>
      </c>
      <c r="E82" s="42">
        <v>0</v>
      </c>
      <c r="F82" s="41">
        <v>0</v>
      </c>
      <c r="G82" s="43" t="e">
        <f t="shared" si="24"/>
        <v>#DIV/0!</v>
      </c>
      <c r="H82" s="41">
        <v>0</v>
      </c>
      <c r="I82" s="43" t="e">
        <f t="shared" si="25"/>
        <v>#DIV/0!</v>
      </c>
      <c r="J82" s="41">
        <v>0</v>
      </c>
      <c r="K82" s="43" t="e">
        <f t="shared" si="26"/>
        <v>#DIV/0!</v>
      </c>
      <c r="L82" s="40"/>
    </row>
    <row r="83" spans="1:25" s="324" customFormat="1" ht="45">
      <c r="A83" s="196"/>
      <c r="B83" s="41">
        <v>6</v>
      </c>
      <c r="C83" s="41" t="s">
        <v>5</v>
      </c>
      <c r="D83" s="41">
        <v>2</v>
      </c>
      <c r="E83" s="42">
        <v>1</v>
      </c>
      <c r="F83" s="41">
        <v>0</v>
      </c>
      <c r="G83" s="43">
        <f t="shared" si="24"/>
        <v>0</v>
      </c>
      <c r="H83" s="41">
        <v>1</v>
      </c>
      <c r="I83" s="43">
        <f t="shared" si="25"/>
        <v>0.5</v>
      </c>
      <c r="J83" s="41">
        <v>1</v>
      </c>
      <c r="K83" s="43">
        <f t="shared" si="26"/>
        <v>0.5</v>
      </c>
      <c r="L83" s="4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12" ht="15">
      <c r="B84" s="44"/>
      <c r="C84" s="44" t="s">
        <v>6</v>
      </c>
      <c r="D84" s="44">
        <f>SUM(D78:D83)</f>
        <v>123</v>
      </c>
      <c r="E84" s="45">
        <f>D84/123</f>
        <v>1</v>
      </c>
      <c r="F84" s="41">
        <f>SUM(F78:F83)</f>
        <v>20</v>
      </c>
      <c r="G84" s="43">
        <f t="shared" si="24"/>
        <v>0.16260162601626016</v>
      </c>
      <c r="H84" s="41">
        <f>SUM(H78:H83)</f>
        <v>71</v>
      </c>
      <c r="I84" s="43">
        <f t="shared" si="25"/>
        <v>0.5772357723577236</v>
      </c>
      <c r="J84" s="41">
        <f>SUM(J78:J83)</f>
        <v>32</v>
      </c>
      <c r="K84" s="219">
        <f t="shared" si="26"/>
        <v>0.2601626016260163</v>
      </c>
      <c r="L84" s="40"/>
    </row>
    <row r="85" spans="2:19" ht="15">
      <c r="B85" s="44"/>
      <c r="C85" s="44" t="s">
        <v>22</v>
      </c>
      <c r="D85" s="44"/>
      <c r="E85" s="44"/>
      <c r="F85" s="44"/>
      <c r="G85" s="44"/>
      <c r="H85" s="44"/>
      <c r="I85" s="44"/>
      <c r="J85" s="218"/>
      <c r="K85" s="86"/>
      <c r="L85" s="217"/>
      <c r="M85" s="217"/>
      <c r="N85" s="46"/>
      <c r="O85" s="24"/>
      <c r="P85" s="24"/>
      <c r="Q85" s="24"/>
      <c r="R85" s="24"/>
      <c r="S85" s="24"/>
    </row>
    <row r="86" spans="2:19" ht="15">
      <c r="B86" s="220"/>
      <c r="C86" s="220">
        <v>2017</v>
      </c>
      <c r="D86" s="220">
        <v>107</v>
      </c>
      <c r="E86" s="221">
        <v>1</v>
      </c>
      <c r="F86" s="222">
        <v>23</v>
      </c>
      <c r="G86" s="223">
        <v>0.215</v>
      </c>
      <c r="H86" s="222">
        <v>57</v>
      </c>
      <c r="I86" s="223">
        <v>0.5327</v>
      </c>
      <c r="J86" s="222">
        <v>27</v>
      </c>
      <c r="K86" s="224">
        <v>0.2523</v>
      </c>
      <c r="L86" s="81"/>
      <c r="M86" s="150"/>
      <c r="N86" s="150"/>
      <c r="O86" s="150"/>
      <c r="P86" s="150"/>
      <c r="Q86" s="150"/>
      <c r="R86" s="150"/>
      <c r="S86" s="150"/>
    </row>
    <row r="87" spans="2:12" ht="15.75" thickBot="1">
      <c r="B87" s="602" t="s">
        <v>292</v>
      </c>
      <c r="C87" s="602"/>
      <c r="D87" s="602"/>
      <c r="E87" s="602"/>
      <c r="F87" s="602"/>
      <c r="G87" s="602"/>
      <c r="H87" s="602"/>
      <c r="I87" s="602"/>
      <c r="J87" s="602"/>
      <c r="K87" s="602"/>
      <c r="L87" s="602"/>
    </row>
    <row r="88" spans="2:12" ht="60.75" thickBot="1">
      <c r="B88" s="112" t="s">
        <v>30</v>
      </c>
      <c r="C88" s="118" t="s">
        <v>70</v>
      </c>
      <c r="D88" s="119" t="s">
        <v>123</v>
      </c>
      <c r="E88" s="112" t="s">
        <v>23</v>
      </c>
      <c r="F88" s="112" t="s">
        <v>1</v>
      </c>
      <c r="G88" s="112" t="s">
        <v>27</v>
      </c>
      <c r="H88" s="112" t="s">
        <v>28</v>
      </c>
      <c r="I88" s="112" t="s">
        <v>236</v>
      </c>
      <c r="J88" s="111" t="s">
        <v>22</v>
      </c>
      <c r="K88" s="633" t="s">
        <v>124</v>
      </c>
      <c r="L88" s="624"/>
    </row>
    <row r="89" spans="2:15" ht="120.75" thickBot="1">
      <c r="B89" s="112">
        <v>1</v>
      </c>
      <c r="C89" s="120" t="s">
        <v>71</v>
      </c>
      <c r="D89" s="328"/>
      <c r="E89" s="445"/>
      <c r="F89" s="443"/>
      <c r="G89" s="326"/>
      <c r="H89" s="326"/>
      <c r="I89" s="442"/>
      <c r="J89" s="435"/>
      <c r="K89" s="435"/>
      <c r="L89" s="122"/>
      <c r="M89" s="99"/>
      <c r="N89" s="99"/>
      <c r="O89" s="36"/>
    </row>
    <row r="90" spans="2:15" ht="60.75" thickBot="1">
      <c r="B90" s="112">
        <v>2</v>
      </c>
      <c r="C90" s="120" t="s">
        <v>72</v>
      </c>
      <c r="D90" s="328"/>
      <c r="E90" s="445"/>
      <c r="F90" s="443"/>
      <c r="G90" s="326"/>
      <c r="H90" s="326"/>
      <c r="I90" s="442"/>
      <c r="J90" s="435"/>
      <c r="K90" s="435"/>
      <c r="L90" s="122"/>
      <c r="M90" s="99"/>
      <c r="N90" s="99"/>
      <c r="O90" s="32"/>
    </row>
    <row r="91" spans="2:15" ht="45.75" thickBot="1">
      <c r="B91" s="112">
        <v>3</v>
      </c>
      <c r="C91" s="123" t="s">
        <v>73</v>
      </c>
      <c r="D91" s="328"/>
      <c r="E91" s="445"/>
      <c r="F91" s="443"/>
      <c r="G91" s="326"/>
      <c r="H91" s="326"/>
      <c r="I91" s="442"/>
      <c r="J91" s="435"/>
      <c r="K91" s="38"/>
      <c r="L91" s="122"/>
      <c r="M91" s="99"/>
      <c r="N91" s="99"/>
      <c r="O91" s="32"/>
    </row>
    <row r="92" spans="2:14" ht="60.75" thickBot="1">
      <c r="B92" s="110">
        <v>4</v>
      </c>
      <c r="C92" s="123" t="s">
        <v>74</v>
      </c>
      <c r="D92" s="328"/>
      <c r="E92" s="445"/>
      <c r="F92" s="443"/>
      <c r="G92" s="326"/>
      <c r="H92" s="326"/>
      <c r="I92" s="442"/>
      <c r="J92" s="435"/>
      <c r="K92" s="38"/>
      <c r="L92" s="435"/>
      <c r="M92" s="99"/>
      <c r="N92" s="99"/>
    </row>
    <row r="93" spans="2:14" ht="210.75" thickBot="1">
      <c r="B93" s="114">
        <v>5</v>
      </c>
      <c r="C93" s="123" t="s">
        <v>75</v>
      </c>
      <c r="D93" s="328"/>
      <c r="E93" s="445"/>
      <c r="F93" s="443"/>
      <c r="G93" s="326"/>
      <c r="H93" s="326"/>
      <c r="I93" s="442"/>
      <c r="J93" s="435"/>
      <c r="K93" s="38"/>
      <c r="L93" s="435"/>
      <c r="M93" s="99"/>
      <c r="N93" s="99"/>
    </row>
    <row r="94" spans="1:25" ht="30.75" thickBot="1">
      <c r="A94" s="436"/>
      <c r="B94" s="438">
        <v>6</v>
      </c>
      <c r="C94" s="123" t="s">
        <v>225</v>
      </c>
      <c r="D94" s="328"/>
      <c r="E94" s="445"/>
      <c r="F94" s="443"/>
      <c r="G94" s="326"/>
      <c r="H94" s="326"/>
      <c r="I94" s="441"/>
      <c r="J94" s="435"/>
      <c r="K94" s="38"/>
      <c r="L94" s="435"/>
      <c r="M94" s="440"/>
      <c r="N94" s="440"/>
      <c r="O94" s="436"/>
      <c r="P94" s="436"/>
      <c r="Q94" s="436"/>
      <c r="R94" s="436"/>
      <c r="S94" s="436"/>
      <c r="T94" s="436"/>
      <c r="U94" s="436"/>
      <c r="V94" s="436"/>
      <c r="W94" s="436"/>
      <c r="X94" s="436"/>
      <c r="Y94" s="436"/>
    </row>
    <row r="95" spans="2:14" ht="75.75" thickBot="1">
      <c r="B95" s="110">
        <v>7</v>
      </c>
      <c r="C95" s="123" t="s">
        <v>76</v>
      </c>
      <c r="D95" s="328"/>
      <c r="E95" s="445"/>
      <c r="F95" s="443"/>
      <c r="G95" s="326"/>
      <c r="H95" s="326"/>
      <c r="I95" s="442"/>
      <c r="J95" s="435"/>
      <c r="K95" s="38"/>
      <c r="L95" s="435"/>
      <c r="M95" s="99"/>
      <c r="N95" s="99"/>
    </row>
    <row r="96" spans="1:25" s="436" customFormat="1" ht="90.75" thickBot="1">
      <c r="A96" s="196"/>
      <c r="B96" s="112">
        <v>8</v>
      </c>
      <c r="C96" s="123" t="s">
        <v>77</v>
      </c>
      <c r="D96" s="328"/>
      <c r="E96" s="445"/>
      <c r="F96" s="443"/>
      <c r="G96" s="326"/>
      <c r="H96" s="326"/>
      <c r="I96" s="442"/>
      <c r="J96" s="435"/>
      <c r="K96" s="435"/>
      <c r="L96" s="39"/>
      <c r="M96" s="99"/>
      <c r="N96" s="99"/>
      <c r="O96" s="1"/>
      <c r="P96" s="1"/>
      <c r="Q96" s="1"/>
      <c r="R96" s="1"/>
      <c r="S96" s="1"/>
      <c r="T96" s="324"/>
      <c r="U96" s="324"/>
      <c r="V96" s="324"/>
      <c r="W96" s="324"/>
      <c r="X96" s="324"/>
      <c r="Y96" s="324"/>
    </row>
    <row r="97" spans="2:14" ht="30.75" thickBot="1">
      <c r="B97" s="112">
        <v>9</v>
      </c>
      <c r="C97" s="123" t="s">
        <v>78</v>
      </c>
      <c r="D97" s="328"/>
      <c r="E97" s="445"/>
      <c r="F97" s="443"/>
      <c r="G97" s="326"/>
      <c r="H97" s="326"/>
      <c r="I97" s="442"/>
      <c r="J97" s="435"/>
      <c r="K97" s="435"/>
      <c r="L97" s="435"/>
      <c r="M97" s="99"/>
      <c r="N97" s="99"/>
    </row>
    <row r="98" spans="2:14" ht="45.75" thickBot="1">
      <c r="B98" s="112">
        <v>10</v>
      </c>
      <c r="C98" s="123" t="s">
        <v>79</v>
      </c>
      <c r="D98" s="328"/>
      <c r="E98" s="445"/>
      <c r="F98" s="443"/>
      <c r="G98" s="326"/>
      <c r="H98" s="326"/>
      <c r="I98" s="442"/>
      <c r="J98" s="435"/>
      <c r="K98" s="435"/>
      <c r="L98" s="39"/>
      <c r="M98" s="99"/>
      <c r="N98" s="99"/>
    </row>
    <row r="99" spans="2:14" ht="105.75" thickBot="1">
      <c r="B99" s="112">
        <v>11</v>
      </c>
      <c r="C99" s="123" t="s">
        <v>80</v>
      </c>
      <c r="D99" s="328"/>
      <c r="E99" s="446"/>
      <c r="F99" s="443"/>
      <c r="G99" s="326"/>
      <c r="H99" s="326"/>
      <c r="I99" s="442"/>
      <c r="J99" s="435"/>
      <c r="K99" s="435"/>
      <c r="L99" s="435"/>
      <c r="M99" s="99"/>
      <c r="N99" s="99"/>
    </row>
    <row r="100" spans="2:14" ht="60.75" thickBot="1">
      <c r="B100" s="110">
        <v>12</v>
      </c>
      <c r="C100" s="123" t="s">
        <v>81</v>
      </c>
      <c r="D100" s="330"/>
      <c r="E100" s="445"/>
      <c r="F100" s="443"/>
      <c r="G100" s="326"/>
      <c r="H100" s="326"/>
      <c r="I100" s="442"/>
      <c r="J100" s="435"/>
      <c r="K100" s="435"/>
      <c r="L100" s="435"/>
      <c r="M100" s="99"/>
      <c r="N100" s="99"/>
    </row>
    <row r="101" spans="2:14" ht="30.75" thickBot="1">
      <c r="B101" s="112">
        <v>13</v>
      </c>
      <c r="C101" s="123" t="s">
        <v>82</v>
      </c>
      <c r="D101" s="328"/>
      <c r="E101" s="445"/>
      <c r="F101" s="443"/>
      <c r="G101" s="326"/>
      <c r="H101" s="326"/>
      <c r="I101" s="442"/>
      <c r="J101" s="435"/>
      <c r="K101" s="38"/>
      <c r="L101" s="435"/>
      <c r="M101" s="99"/>
      <c r="N101" s="99"/>
    </row>
    <row r="102" spans="2:14" ht="75.75" thickBot="1">
      <c r="B102" s="112">
        <v>14</v>
      </c>
      <c r="C102" s="123" t="s">
        <v>83</v>
      </c>
      <c r="D102" s="328"/>
      <c r="E102" s="445"/>
      <c r="F102" s="443"/>
      <c r="G102" s="326"/>
      <c r="H102" s="326"/>
      <c r="I102" s="442"/>
      <c r="J102" s="435"/>
      <c r="K102" s="435"/>
      <c r="L102" s="435"/>
      <c r="M102" s="99"/>
      <c r="N102" s="99"/>
    </row>
    <row r="103" spans="2:14" ht="75.75" thickBot="1">
      <c r="B103" s="112">
        <v>15</v>
      </c>
      <c r="C103" s="123" t="s">
        <v>84</v>
      </c>
      <c r="D103" s="328"/>
      <c r="E103" s="445"/>
      <c r="F103" s="443"/>
      <c r="G103" s="326"/>
      <c r="H103" s="326"/>
      <c r="I103" s="442"/>
      <c r="J103" s="435"/>
      <c r="K103" s="38"/>
      <c r="L103" s="435"/>
      <c r="M103" s="99"/>
      <c r="N103" s="99"/>
    </row>
    <row r="104" spans="2:14" ht="285.75" thickBot="1">
      <c r="B104" s="110">
        <v>16</v>
      </c>
      <c r="C104" s="123" t="s">
        <v>85</v>
      </c>
      <c r="D104" s="328"/>
      <c r="E104" s="445"/>
      <c r="F104" s="443"/>
      <c r="G104" s="326"/>
      <c r="H104" s="326"/>
      <c r="I104" s="442"/>
      <c r="J104" s="435"/>
      <c r="K104" s="435"/>
      <c r="L104" s="435"/>
      <c r="M104" s="99"/>
      <c r="N104" s="99"/>
    </row>
    <row r="105" spans="2:14" ht="240">
      <c r="B105" s="112">
        <v>17</v>
      </c>
      <c r="C105" s="124" t="s">
        <v>86</v>
      </c>
      <c r="D105" s="328"/>
      <c r="E105" s="445"/>
      <c r="F105" s="443"/>
      <c r="G105" s="326"/>
      <c r="H105" s="326"/>
      <c r="I105" s="442"/>
      <c r="J105" s="435"/>
      <c r="K105" s="435"/>
      <c r="L105" s="435"/>
      <c r="M105" s="99"/>
      <c r="N105" s="99"/>
    </row>
    <row r="106" spans="2:14" ht="195.75" thickBot="1">
      <c r="B106" s="110">
        <v>18</v>
      </c>
      <c r="C106" s="123" t="s">
        <v>87</v>
      </c>
      <c r="D106" s="328"/>
      <c r="E106" s="445"/>
      <c r="F106" s="443"/>
      <c r="G106" s="326"/>
      <c r="H106" s="326"/>
      <c r="I106" s="442"/>
      <c r="J106" s="435"/>
      <c r="K106" s="435"/>
      <c r="L106" s="435"/>
      <c r="M106" s="99"/>
      <c r="N106" s="99"/>
    </row>
    <row r="107" spans="2:14" ht="105.75" thickBot="1">
      <c r="B107" s="112">
        <v>19</v>
      </c>
      <c r="C107" s="123" t="s">
        <v>88</v>
      </c>
      <c r="D107" s="328"/>
      <c r="E107" s="445"/>
      <c r="F107" s="443"/>
      <c r="G107" s="326"/>
      <c r="H107" s="326"/>
      <c r="I107" s="442"/>
      <c r="J107" s="435"/>
      <c r="K107" s="435"/>
      <c r="L107" s="435"/>
      <c r="M107" s="99"/>
      <c r="N107" s="99"/>
    </row>
    <row r="108" spans="2:14" ht="105.75" thickBot="1">
      <c r="B108" s="112">
        <v>20</v>
      </c>
      <c r="C108" s="123" t="s">
        <v>89</v>
      </c>
      <c r="D108" s="328"/>
      <c r="E108" s="445"/>
      <c r="F108" s="443"/>
      <c r="G108" s="326"/>
      <c r="H108" s="326"/>
      <c r="I108" s="442"/>
      <c r="J108" s="435"/>
      <c r="K108" s="435"/>
      <c r="L108" s="435"/>
      <c r="M108" s="99"/>
      <c r="N108" s="99"/>
    </row>
    <row r="109" spans="1:25" ht="30.75" thickBot="1">
      <c r="A109" s="436"/>
      <c r="B109" s="437">
        <v>21</v>
      </c>
      <c r="C109" s="123" t="s">
        <v>226</v>
      </c>
      <c r="D109" s="328"/>
      <c r="E109" s="445"/>
      <c r="F109" s="443"/>
      <c r="G109" s="327"/>
      <c r="H109" s="327"/>
      <c r="I109" s="441"/>
      <c r="J109" s="435"/>
      <c r="K109" s="435"/>
      <c r="L109" s="435"/>
      <c r="M109" s="440"/>
      <c r="N109" s="440"/>
      <c r="O109" s="436"/>
      <c r="P109" s="436"/>
      <c r="Q109" s="436"/>
      <c r="R109" s="436"/>
      <c r="S109" s="436"/>
      <c r="T109" s="436"/>
      <c r="U109" s="436"/>
      <c r="V109" s="436"/>
      <c r="W109" s="436"/>
      <c r="X109" s="436"/>
      <c r="Y109" s="436"/>
    </row>
    <row r="110" spans="2:14" ht="120.75" thickBot="1">
      <c r="B110" s="112">
        <v>22</v>
      </c>
      <c r="C110" s="123" t="s">
        <v>90</v>
      </c>
      <c r="D110" s="328"/>
      <c r="E110" s="329"/>
      <c r="F110" s="443"/>
      <c r="G110" s="326"/>
      <c r="H110" s="326"/>
      <c r="I110" s="442"/>
      <c r="J110" s="448"/>
      <c r="K110" s="38"/>
      <c r="L110" s="435"/>
      <c r="M110" s="99"/>
      <c r="N110" s="99"/>
    </row>
    <row r="111" spans="2:14" ht="60">
      <c r="B111" s="113">
        <v>23</v>
      </c>
      <c r="C111" s="125" t="s">
        <v>183</v>
      </c>
      <c r="D111" s="329"/>
      <c r="E111" s="329"/>
      <c r="F111" s="443"/>
      <c r="G111" s="326"/>
      <c r="H111" s="326"/>
      <c r="I111" s="442"/>
      <c r="J111" s="440"/>
      <c r="K111" s="104"/>
      <c r="L111" s="104"/>
      <c r="M111" s="99"/>
      <c r="N111" s="99"/>
    </row>
    <row r="112" spans="2:14" ht="225">
      <c r="B112" s="112">
        <v>24</v>
      </c>
      <c r="C112" s="126" t="s">
        <v>91</v>
      </c>
      <c r="D112" s="329"/>
      <c r="E112" s="450"/>
      <c r="F112" s="331"/>
      <c r="G112" s="326"/>
      <c r="H112" s="327"/>
      <c r="I112" s="442"/>
      <c r="J112" s="439"/>
      <c r="K112" s="435"/>
      <c r="L112" s="435"/>
      <c r="M112" s="99"/>
      <c r="N112" s="99"/>
    </row>
    <row r="113" spans="2:14" ht="60">
      <c r="B113" s="114">
        <v>25</v>
      </c>
      <c r="C113" s="126" t="s">
        <v>184</v>
      </c>
      <c r="D113" s="440"/>
      <c r="E113" s="329"/>
      <c r="F113" s="447"/>
      <c r="G113" s="440"/>
      <c r="H113" s="451"/>
      <c r="I113" s="442"/>
      <c r="J113" s="439"/>
      <c r="K113" s="435"/>
      <c r="L113" s="435"/>
      <c r="M113" s="99"/>
      <c r="N113" s="99"/>
    </row>
    <row r="114" spans="2:12" ht="75">
      <c r="B114" s="112">
        <v>26</v>
      </c>
      <c r="C114" s="126" t="s">
        <v>92</v>
      </c>
      <c r="D114" s="329"/>
      <c r="E114" s="449"/>
      <c r="F114" s="435"/>
      <c r="G114" s="435"/>
      <c r="H114" s="453"/>
      <c r="I114" s="442"/>
      <c r="J114" s="439"/>
      <c r="K114" s="435"/>
      <c r="L114" s="435"/>
    </row>
    <row r="115" spans="2:12" ht="75">
      <c r="B115" s="115" t="s">
        <v>93</v>
      </c>
      <c r="C115" s="127" t="s">
        <v>185</v>
      </c>
      <c r="D115" s="106"/>
      <c r="E115" s="454"/>
      <c r="F115" s="444"/>
      <c r="G115" s="326"/>
      <c r="H115" s="326"/>
      <c r="I115" s="442"/>
      <c r="J115" s="439"/>
      <c r="K115" s="435"/>
      <c r="L115" s="435"/>
    </row>
    <row r="116" spans="2:12" ht="105">
      <c r="B116" s="115" t="s">
        <v>94</v>
      </c>
      <c r="C116" s="127" t="s">
        <v>186</v>
      </c>
      <c r="D116" s="106"/>
      <c r="E116" s="454"/>
      <c r="F116" s="444"/>
      <c r="G116" s="326"/>
      <c r="H116" s="326"/>
      <c r="I116" s="442"/>
      <c r="J116" s="439"/>
      <c r="K116" s="435"/>
      <c r="L116" s="435"/>
    </row>
    <row r="117" spans="2:12" ht="75">
      <c r="B117" s="325" t="s">
        <v>95</v>
      </c>
      <c r="C117" s="127" t="s">
        <v>187</v>
      </c>
      <c r="D117" s="106"/>
      <c r="E117" s="454"/>
      <c r="F117" s="444"/>
      <c r="G117" s="326"/>
      <c r="H117" s="326"/>
      <c r="I117" s="442"/>
      <c r="J117" s="439"/>
      <c r="K117" s="435"/>
      <c r="L117" s="435"/>
    </row>
    <row r="118" spans="2:12" ht="105">
      <c r="B118" s="115" t="s">
        <v>96</v>
      </c>
      <c r="C118" s="127" t="s">
        <v>188</v>
      </c>
      <c r="D118" s="106"/>
      <c r="E118" s="454"/>
      <c r="F118" s="444"/>
      <c r="G118" s="326"/>
      <c r="H118" s="326"/>
      <c r="I118" s="442"/>
      <c r="J118" s="439"/>
      <c r="K118" s="435"/>
      <c r="L118" s="435"/>
    </row>
    <row r="119" spans="2:12" ht="120">
      <c r="B119" s="115" t="s">
        <v>97</v>
      </c>
      <c r="C119" s="127" t="s">
        <v>189</v>
      </c>
      <c r="D119" s="106"/>
      <c r="E119" s="454"/>
      <c r="F119" s="444"/>
      <c r="G119" s="326"/>
      <c r="H119" s="326"/>
      <c r="I119" s="442"/>
      <c r="J119" s="439"/>
      <c r="K119" s="435"/>
      <c r="L119" s="435"/>
    </row>
    <row r="120" spans="2:12" ht="45">
      <c r="B120" s="115" t="s">
        <v>98</v>
      </c>
      <c r="C120" s="127" t="s">
        <v>190</v>
      </c>
      <c r="D120" s="106"/>
      <c r="E120" s="454"/>
      <c r="F120" s="444"/>
      <c r="G120" s="326"/>
      <c r="H120" s="326"/>
      <c r="I120" s="442"/>
      <c r="J120" s="439"/>
      <c r="K120" s="435"/>
      <c r="L120" s="435"/>
    </row>
    <row r="121" spans="2:12" ht="45">
      <c r="B121" s="115" t="s">
        <v>99</v>
      </c>
      <c r="C121" s="127" t="s">
        <v>100</v>
      </c>
      <c r="D121" s="106"/>
      <c r="E121" s="454"/>
      <c r="F121" s="444"/>
      <c r="G121" s="326"/>
      <c r="H121" s="326"/>
      <c r="I121" s="442"/>
      <c r="J121" s="439"/>
      <c r="K121" s="435"/>
      <c r="L121" s="435"/>
    </row>
    <row r="122" spans="2:12" ht="45">
      <c r="B122" s="115" t="s">
        <v>101</v>
      </c>
      <c r="C122" s="127" t="s">
        <v>102</v>
      </c>
      <c r="D122" s="106"/>
      <c r="E122" s="454"/>
      <c r="F122" s="444"/>
      <c r="G122" s="326"/>
      <c r="H122" s="326"/>
      <c r="I122" s="442"/>
      <c r="J122" s="439"/>
      <c r="K122" s="435"/>
      <c r="L122" s="435"/>
    </row>
    <row r="123" spans="2:12" ht="90">
      <c r="B123" s="115" t="s">
        <v>103</v>
      </c>
      <c r="C123" s="127" t="s">
        <v>191</v>
      </c>
      <c r="D123" s="106"/>
      <c r="E123" s="454"/>
      <c r="F123" s="444"/>
      <c r="G123" s="326"/>
      <c r="H123" s="326"/>
      <c r="I123" s="442"/>
      <c r="J123" s="439"/>
      <c r="K123" s="435"/>
      <c r="L123" s="435"/>
    </row>
    <row r="124" spans="2:12" ht="45">
      <c r="B124" s="115" t="s">
        <v>104</v>
      </c>
      <c r="C124" s="127" t="s">
        <v>105</v>
      </c>
      <c r="D124" s="106"/>
      <c r="E124" s="454"/>
      <c r="F124" s="444"/>
      <c r="G124" s="326"/>
      <c r="H124" s="326"/>
      <c r="I124" s="442"/>
      <c r="J124" s="439"/>
      <c r="K124" s="435"/>
      <c r="L124" s="435"/>
    </row>
    <row r="125" spans="2:12" ht="45">
      <c r="B125" s="115" t="s">
        <v>106</v>
      </c>
      <c r="C125" s="127" t="s">
        <v>107</v>
      </c>
      <c r="D125" s="106"/>
      <c r="E125" s="454"/>
      <c r="F125" s="444"/>
      <c r="G125" s="326"/>
      <c r="H125" s="326"/>
      <c r="I125" s="442"/>
      <c r="J125" s="439"/>
      <c r="K125" s="435"/>
      <c r="L125" s="435"/>
    </row>
    <row r="126" spans="2:12" ht="105">
      <c r="B126" s="115" t="s">
        <v>108</v>
      </c>
      <c r="C126" s="127" t="s">
        <v>192</v>
      </c>
      <c r="D126" s="106"/>
      <c r="E126" s="454"/>
      <c r="F126" s="444"/>
      <c r="G126" s="326"/>
      <c r="H126" s="326"/>
      <c r="I126" s="442"/>
      <c r="J126" s="439"/>
      <c r="K126" s="435"/>
      <c r="L126" s="435"/>
    </row>
  </sheetData>
  <sheetProtection/>
  <mergeCells count="72">
    <mergeCell ref="R31:S31"/>
    <mergeCell ref="B30:N30"/>
    <mergeCell ref="A31:A42"/>
    <mergeCell ref="D31:E31"/>
    <mergeCell ref="F31:F32"/>
    <mergeCell ref="G31:G32"/>
    <mergeCell ref="H31:H32"/>
    <mergeCell ref="N31:O31"/>
    <mergeCell ref="K31:M31"/>
    <mergeCell ref="B44:N44"/>
    <mergeCell ref="N57:O57"/>
    <mergeCell ref="D76:E76"/>
    <mergeCell ref="I57:J57"/>
    <mergeCell ref="I45:J45"/>
    <mergeCell ref="P31:Q31"/>
    <mergeCell ref="P57:Q57"/>
    <mergeCell ref="K45:M45"/>
    <mergeCell ref="T31:U31"/>
    <mergeCell ref="K57:M57"/>
    <mergeCell ref="A45:A56"/>
    <mergeCell ref="A57:A68"/>
    <mergeCell ref="D45:E45"/>
    <mergeCell ref="F45:F46"/>
    <mergeCell ref="G45:G46"/>
    <mergeCell ref="I31:J31"/>
    <mergeCell ref="D57:E57"/>
    <mergeCell ref="F57:F58"/>
    <mergeCell ref="B87:L87"/>
    <mergeCell ref="J76:K76"/>
    <mergeCell ref="G57:G58"/>
    <mergeCell ref="H57:H58"/>
    <mergeCell ref="H45:H46"/>
    <mergeCell ref="H76:I76"/>
    <mergeCell ref="F76:G76"/>
    <mergeCell ref="X31:Y31"/>
    <mergeCell ref="Z18:AA18"/>
    <mergeCell ref="AB18:AC18"/>
    <mergeCell ref="V31:W31"/>
    <mergeCell ref="K88:L88"/>
    <mergeCell ref="B75:K75"/>
    <mergeCell ref="N45:O45"/>
    <mergeCell ref="P45:Q45"/>
    <mergeCell ref="R45:S45"/>
    <mergeCell ref="R57:S57"/>
    <mergeCell ref="A17:A28"/>
    <mergeCell ref="D17:E17"/>
    <mergeCell ref="F17:F18"/>
    <mergeCell ref="G17:G18"/>
    <mergeCell ref="H17:H18"/>
    <mergeCell ref="I17:J17"/>
    <mergeCell ref="P17:Q17"/>
    <mergeCell ref="R17:S17"/>
    <mergeCell ref="T17:U17"/>
    <mergeCell ref="V17:W17"/>
    <mergeCell ref="X17:Y17"/>
    <mergeCell ref="B16:N16"/>
    <mergeCell ref="K17:M17"/>
    <mergeCell ref="N17:O17"/>
    <mergeCell ref="A2:A13"/>
    <mergeCell ref="D2:E2"/>
    <mergeCell ref="F2:F3"/>
    <mergeCell ref="G2:G3"/>
    <mergeCell ref="H2:H3"/>
    <mergeCell ref="I2:J2"/>
    <mergeCell ref="P2:Q2"/>
    <mergeCell ref="R2:S2"/>
    <mergeCell ref="T2:U2"/>
    <mergeCell ref="V2:W2"/>
    <mergeCell ref="X2:Y2"/>
    <mergeCell ref="B1:N1"/>
    <mergeCell ref="K2:M2"/>
    <mergeCell ref="N2:O2"/>
  </mergeCells>
  <printOptions verticalCentered="1"/>
  <pageMargins left="0.7086614173228347" right="2.4803149606299213" top="0.7480314960629921" bottom="0.7480314960629921" header="0.31496062992125984" footer="0.31496062992125984"/>
  <pageSetup cellComments="asDisplayed" fitToHeight="0" fitToWidth="1" horizontalDpi="600" verticalDpi="600" orientation="landscape" paperSize="9" scale="48" r:id="rId1"/>
  <rowBreaks count="1" manualBreakCount="1">
    <brk id="1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11"/>
  <sheetViews>
    <sheetView zoomScalePageLayoutView="0" workbookViewId="0" topLeftCell="B1">
      <selection activeCell="X3" sqref="X3"/>
    </sheetView>
  </sheetViews>
  <sheetFormatPr defaultColWidth="9.140625" defaultRowHeight="15"/>
  <cols>
    <col min="3" max="3" width="4.140625" style="0" customWidth="1"/>
    <col min="4" max="4" width="10.140625" style="0" customWidth="1"/>
    <col min="5" max="5" width="5.8515625" style="0" customWidth="1"/>
    <col min="6" max="6" width="6.57421875" style="0" customWidth="1"/>
    <col min="7" max="7" width="5.140625" style="0" customWidth="1"/>
    <col min="8" max="8" width="5.00390625" style="0" customWidth="1"/>
    <col min="10" max="10" width="5.421875" style="0" customWidth="1"/>
    <col min="11" max="11" width="4.8515625" style="0" customWidth="1"/>
    <col min="12" max="12" width="6.140625" style="0" customWidth="1"/>
    <col min="14" max="14" width="6.57421875" style="0" customWidth="1"/>
    <col min="15" max="15" width="5.8515625" style="0" customWidth="1"/>
    <col min="17" max="17" width="5.00390625" style="0" customWidth="1"/>
    <col min="19" max="19" width="6.421875" style="0" customWidth="1"/>
  </cols>
  <sheetData>
    <row r="1" spans="3:18" s="255" customFormat="1" ht="15">
      <c r="C1" s="588" t="s">
        <v>157</v>
      </c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81"/>
      <c r="Q1" s="81"/>
      <c r="R1" s="81"/>
    </row>
    <row r="2" spans="1:20" ht="147" customHeight="1">
      <c r="A2" s="590" t="s">
        <v>140</v>
      </c>
      <c r="B2" s="590" t="s">
        <v>158</v>
      </c>
      <c r="C2" s="251"/>
      <c r="D2" s="251"/>
      <c r="E2" s="590" t="s">
        <v>7</v>
      </c>
      <c r="F2" s="590"/>
      <c r="G2" s="590" t="s">
        <v>56</v>
      </c>
      <c r="H2" s="592" t="s">
        <v>20</v>
      </c>
      <c r="I2" s="592" t="s">
        <v>60</v>
      </c>
      <c r="J2" s="590" t="s">
        <v>9</v>
      </c>
      <c r="K2" s="590"/>
      <c r="L2" s="590" t="s">
        <v>13</v>
      </c>
      <c r="M2" s="590"/>
      <c r="N2" s="590"/>
      <c r="O2" s="599" t="s">
        <v>36</v>
      </c>
      <c r="P2" s="599"/>
      <c r="Q2" s="599" t="s">
        <v>127</v>
      </c>
      <c r="R2" s="599"/>
      <c r="S2" s="587" t="s">
        <v>176</v>
      </c>
      <c r="T2" s="587"/>
    </row>
    <row r="3" spans="1:20" ht="255">
      <c r="A3" s="590"/>
      <c r="B3" s="590"/>
      <c r="C3" s="251"/>
      <c r="D3" s="251"/>
      <c r="E3" s="251" t="s">
        <v>8</v>
      </c>
      <c r="F3" s="251" t="s">
        <v>11</v>
      </c>
      <c r="G3" s="590"/>
      <c r="H3" s="593"/>
      <c r="I3" s="593"/>
      <c r="J3" s="251" t="s">
        <v>8</v>
      </c>
      <c r="K3" s="251" t="s">
        <v>10</v>
      </c>
      <c r="L3" s="251" t="s">
        <v>14</v>
      </c>
      <c r="M3" s="251" t="s">
        <v>12</v>
      </c>
      <c r="N3" s="251" t="s">
        <v>15</v>
      </c>
      <c r="O3" s="256" t="s">
        <v>8</v>
      </c>
      <c r="P3" s="256" t="s">
        <v>10</v>
      </c>
      <c r="Q3" s="256" t="s">
        <v>159</v>
      </c>
      <c r="R3" s="256" t="s">
        <v>10</v>
      </c>
      <c r="S3" s="293" t="s">
        <v>8</v>
      </c>
      <c r="T3" s="293" t="s">
        <v>10</v>
      </c>
    </row>
    <row r="4" spans="1:20" ht="15">
      <c r="A4" s="590"/>
      <c r="B4" s="590"/>
      <c r="C4" s="251">
        <v>1</v>
      </c>
      <c r="D4" s="251" t="s">
        <v>0</v>
      </c>
      <c r="E4" s="251">
        <v>0</v>
      </c>
      <c r="F4" s="7">
        <f>E4/25</f>
        <v>0</v>
      </c>
      <c r="G4" s="251">
        <v>0</v>
      </c>
      <c r="H4" s="251">
        <v>0</v>
      </c>
      <c r="I4" s="257">
        <f aca="true" t="shared" si="0" ref="I4:I9">H4/100</f>
        <v>0</v>
      </c>
      <c r="J4" s="251">
        <v>0</v>
      </c>
      <c r="K4" s="257">
        <v>0</v>
      </c>
      <c r="L4" s="251">
        <v>0</v>
      </c>
      <c r="M4" s="7">
        <v>0</v>
      </c>
      <c r="N4" s="11">
        <v>0</v>
      </c>
      <c r="O4" s="256">
        <v>0</v>
      </c>
      <c r="P4" s="43" t="e">
        <f aca="true" t="shared" si="1" ref="P4:P10">O4/E4</f>
        <v>#DIV/0!</v>
      </c>
      <c r="Q4" s="256">
        <v>0</v>
      </c>
      <c r="R4" s="43" t="e">
        <f aca="true" t="shared" si="2" ref="R4:R10">Q4/E4</f>
        <v>#DIV/0!</v>
      </c>
      <c r="S4" s="70">
        <v>0</v>
      </c>
      <c r="T4" s="295" t="e">
        <f>S4/I4</f>
        <v>#DIV/0!</v>
      </c>
    </row>
    <row r="5" spans="1:20" ht="15">
      <c r="A5" s="590"/>
      <c r="B5" s="590"/>
      <c r="C5" s="251">
        <v>2</v>
      </c>
      <c r="D5" s="251" t="s">
        <v>1</v>
      </c>
      <c r="E5" s="251">
        <v>1</v>
      </c>
      <c r="F5" s="7">
        <f>E5/19</f>
        <v>0.05263157894736842</v>
      </c>
      <c r="G5" s="251">
        <f>55/E5</f>
        <v>55</v>
      </c>
      <c r="H5" s="251">
        <f>55/E5</f>
        <v>55</v>
      </c>
      <c r="I5" s="257">
        <f t="shared" si="0"/>
        <v>0.55</v>
      </c>
      <c r="J5" s="251">
        <v>0</v>
      </c>
      <c r="K5" s="257">
        <v>0</v>
      </c>
      <c r="L5" s="251">
        <v>0</v>
      </c>
      <c r="M5" s="257">
        <v>0</v>
      </c>
      <c r="N5" s="251">
        <v>0</v>
      </c>
      <c r="O5" s="256">
        <v>0</v>
      </c>
      <c r="P5" s="43">
        <f t="shared" si="1"/>
        <v>0</v>
      </c>
      <c r="Q5" s="256">
        <v>0</v>
      </c>
      <c r="R5" s="43">
        <f t="shared" si="2"/>
        <v>0</v>
      </c>
      <c r="S5" s="70">
        <v>0</v>
      </c>
      <c r="T5" s="295">
        <v>0</v>
      </c>
    </row>
    <row r="6" spans="1:20" ht="15">
      <c r="A6" s="590"/>
      <c r="B6" s="590"/>
      <c r="C6" s="251">
        <v>3</v>
      </c>
      <c r="D6" s="251" t="s">
        <v>2</v>
      </c>
      <c r="E6" s="251">
        <v>0</v>
      </c>
      <c r="F6" s="7">
        <f>E6/27</f>
        <v>0</v>
      </c>
      <c r="G6" s="251">
        <v>0</v>
      </c>
      <c r="H6" s="251">
        <v>0</v>
      </c>
      <c r="I6" s="257">
        <f t="shared" si="0"/>
        <v>0</v>
      </c>
      <c r="J6" s="251"/>
      <c r="K6" s="257"/>
      <c r="L6" s="251"/>
      <c r="M6" s="7"/>
      <c r="N6" s="11"/>
      <c r="O6" s="256">
        <v>0</v>
      </c>
      <c r="P6" s="85" t="e">
        <f t="shared" si="1"/>
        <v>#DIV/0!</v>
      </c>
      <c r="Q6" s="256">
        <v>0</v>
      </c>
      <c r="R6" s="43" t="e">
        <f t="shared" si="2"/>
        <v>#DIV/0!</v>
      </c>
      <c r="S6" s="70">
        <v>0</v>
      </c>
      <c r="T6" s="295" t="e">
        <f>S6/E6</f>
        <v>#DIV/0!</v>
      </c>
    </row>
    <row r="7" spans="1:20" ht="15">
      <c r="A7" s="590"/>
      <c r="B7" s="590"/>
      <c r="C7" s="251">
        <v>4</v>
      </c>
      <c r="D7" s="251" t="s">
        <v>3</v>
      </c>
      <c r="E7" s="251">
        <v>0</v>
      </c>
      <c r="F7" s="7">
        <f>E7/28</f>
        <v>0</v>
      </c>
      <c r="G7" s="251">
        <v>0</v>
      </c>
      <c r="H7" s="251">
        <v>0</v>
      </c>
      <c r="I7" s="257">
        <f t="shared" si="0"/>
        <v>0</v>
      </c>
      <c r="J7" s="251"/>
      <c r="K7" s="257"/>
      <c r="L7" s="251"/>
      <c r="M7" s="257"/>
      <c r="N7" s="251"/>
      <c r="O7" s="256">
        <v>0</v>
      </c>
      <c r="P7" s="43" t="e">
        <f t="shared" si="1"/>
        <v>#DIV/0!</v>
      </c>
      <c r="Q7" s="256"/>
      <c r="R7" s="43" t="e">
        <f t="shared" si="2"/>
        <v>#DIV/0!</v>
      </c>
      <c r="S7" s="70">
        <v>0</v>
      </c>
      <c r="T7" s="63">
        <v>0</v>
      </c>
    </row>
    <row r="8" spans="1:20" ht="30">
      <c r="A8" s="590"/>
      <c r="B8" s="590"/>
      <c r="C8" s="251">
        <v>5</v>
      </c>
      <c r="D8" s="251" t="s">
        <v>29</v>
      </c>
      <c r="E8" s="251">
        <v>0</v>
      </c>
      <c r="F8" s="7">
        <f>E8/28</f>
        <v>0</v>
      </c>
      <c r="G8" s="251">
        <v>0</v>
      </c>
      <c r="H8" s="251">
        <v>0</v>
      </c>
      <c r="I8" s="257">
        <f t="shared" si="0"/>
        <v>0</v>
      </c>
      <c r="J8" s="251"/>
      <c r="K8" s="257"/>
      <c r="L8" s="251"/>
      <c r="M8" s="257"/>
      <c r="N8" s="251"/>
      <c r="O8" s="256"/>
      <c r="P8" s="43" t="e">
        <f t="shared" si="1"/>
        <v>#DIV/0!</v>
      </c>
      <c r="Q8" s="256"/>
      <c r="R8" s="43" t="e">
        <f t="shared" si="2"/>
        <v>#DIV/0!</v>
      </c>
      <c r="S8" s="70">
        <v>0</v>
      </c>
      <c r="T8" s="63">
        <v>0</v>
      </c>
    </row>
    <row r="9" spans="1:20" ht="45">
      <c r="A9" s="590"/>
      <c r="B9" s="590"/>
      <c r="C9" s="251">
        <v>6</v>
      </c>
      <c r="D9" s="251" t="s">
        <v>5</v>
      </c>
      <c r="E9" s="251">
        <v>0</v>
      </c>
      <c r="F9" s="7">
        <f>E9/28</f>
        <v>0</v>
      </c>
      <c r="G9" s="251">
        <v>0</v>
      </c>
      <c r="H9" s="251">
        <v>0</v>
      </c>
      <c r="I9" s="257">
        <f t="shared" si="0"/>
        <v>0</v>
      </c>
      <c r="J9" s="251"/>
      <c r="K9" s="257"/>
      <c r="L9" s="251"/>
      <c r="M9" s="251"/>
      <c r="N9" s="251"/>
      <c r="O9" s="256"/>
      <c r="P9" s="43" t="e">
        <f t="shared" si="1"/>
        <v>#DIV/0!</v>
      </c>
      <c r="Q9" s="256"/>
      <c r="R9" s="43" t="e">
        <f t="shared" si="2"/>
        <v>#DIV/0!</v>
      </c>
      <c r="S9" s="70">
        <v>0</v>
      </c>
      <c r="T9" s="63">
        <v>0</v>
      </c>
    </row>
    <row r="10" spans="1:20" ht="15">
      <c r="A10" s="590"/>
      <c r="B10" s="590"/>
      <c r="C10" s="6"/>
      <c r="D10" s="6" t="s">
        <v>6</v>
      </c>
      <c r="E10" s="6">
        <f>SUM(E4:E9)</f>
        <v>1</v>
      </c>
      <c r="F10" s="10">
        <f>E10/123</f>
        <v>0.008130081300813009</v>
      </c>
      <c r="G10" s="67">
        <f>55/E10</f>
        <v>55</v>
      </c>
      <c r="H10" s="67">
        <f>55/E10</f>
        <v>55</v>
      </c>
      <c r="I10" s="13">
        <f>55/(E10*100)</f>
        <v>0.55</v>
      </c>
      <c r="J10" s="6"/>
      <c r="K10" s="13"/>
      <c r="L10" s="6"/>
      <c r="M10" s="6"/>
      <c r="N10" s="6"/>
      <c r="O10" s="44">
        <f>SUM(O4:O9)</f>
        <v>0</v>
      </c>
      <c r="P10" s="43">
        <f t="shared" si="1"/>
        <v>0</v>
      </c>
      <c r="Q10" s="44">
        <f>SUM(Q4:Q9)</f>
        <v>0</v>
      </c>
      <c r="R10" s="43">
        <f t="shared" si="2"/>
        <v>0</v>
      </c>
      <c r="S10" s="70">
        <v>0</v>
      </c>
      <c r="T10" s="63">
        <v>0</v>
      </c>
    </row>
    <row r="11" spans="1:20" ht="15">
      <c r="A11" s="590"/>
      <c r="B11" s="590"/>
      <c r="C11" s="6"/>
      <c r="D11" s="6" t="s">
        <v>22</v>
      </c>
      <c r="E11" s="6"/>
      <c r="F11" s="6"/>
      <c r="G11" s="6">
        <v>56</v>
      </c>
      <c r="H11" s="6"/>
      <c r="I11" s="6"/>
      <c r="J11" s="6"/>
      <c r="K11" s="6"/>
      <c r="L11" s="6"/>
      <c r="M11" s="6"/>
      <c r="N11" s="6"/>
      <c r="O11" s="44"/>
      <c r="P11" s="44"/>
      <c r="Q11" s="44"/>
      <c r="R11" s="86"/>
      <c r="S11" s="296"/>
      <c r="T11" s="296"/>
    </row>
  </sheetData>
  <sheetProtection/>
  <mergeCells count="12">
    <mergeCell ref="L2:N2"/>
    <mergeCell ref="O2:P2"/>
    <mergeCell ref="Q2:R2"/>
    <mergeCell ref="S2:T2"/>
    <mergeCell ref="C1:O1"/>
    <mergeCell ref="B2:B11"/>
    <mergeCell ref="A2:A11"/>
    <mergeCell ref="E2:F2"/>
    <mergeCell ref="G2:G3"/>
    <mergeCell ref="H2:H3"/>
    <mergeCell ref="I2:I3"/>
    <mergeCell ref="J2:K2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9"/>
  <sheetViews>
    <sheetView view="pageBreakPreview" zoomScale="75" zoomScaleSheetLayoutView="75" zoomScalePageLayoutView="0" workbookViewId="0" topLeftCell="A1">
      <selection activeCell="U12" sqref="A1:U12"/>
    </sheetView>
  </sheetViews>
  <sheetFormatPr defaultColWidth="9.140625" defaultRowHeight="15"/>
  <cols>
    <col min="1" max="1" width="9.140625" style="228" customWidth="1"/>
    <col min="2" max="2" width="6.421875" style="18" customWidth="1"/>
    <col min="3" max="3" width="15.28125" style="18" customWidth="1"/>
    <col min="4" max="6" width="9.140625" style="18" customWidth="1"/>
    <col min="7" max="8" width="9.140625" style="76" customWidth="1"/>
    <col min="9" max="9" width="4.00390625" style="18" customWidth="1"/>
    <col min="10" max="10" width="5.57421875" style="18" customWidth="1"/>
    <col min="11" max="11" width="4.8515625" style="18" customWidth="1"/>
    <col min="12" max="12" width="5.8515625" style="18" customWidth="1"/>
    <col min="13" max="13" width="6.421875" style="18" customWidth="1"/>
    <col min="14" max="14" width="3.7109375" style="81" customWidth="1"/>
    <col min="15" max="15" width="12.140625" style="81" customWidth="1"/>
    <col min="16" max="16" width="5.8515625" style="81" customWidth="1"/>
    <col min="17" max="17" width="9.00390625" style="81" customWidth="1"/>
    <col min="18" max="16384" width="9.140625" style="18" customWidth="1"/>
  </cols>
  <sheetData>
    <row r="1" spans="1:19" s="505" customFormat="1" ht="15" customHeight="1">
      <c r="A1" s="524"/>
      <c r="B1" s="588" t="s">
        <v>264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81"/>
      <c r="P1" s="81"/>
      <c r="Q1" s="81"/>
      <c r="R1" s="524"/>
      <c r="S1" s="524"/>
    </row>
    <row r="2" spans="1:21" s="505" customFormat="1" ht="45" customHeight="1">
      <c r="A2" s="590" t="s">
        <v>256</v>
      </c>
      <c r="B2" s="525"/>
      <c r="C2" s="525"/>
      <c r="D2" s="590" t="s">
        <v>7</v>
      </c>
      <c r="E2" s="590"/>
      <c r="F2" s="590" t="s">
        <v>56</v>
      </c>
      <c r="G2" s="592" t="s">
        <v>20</v>
      </c>
      <c r="H2" s="592" t="s">
        <v>60</v>
      </c>
      <c r="I2" s="590" t="s">
        <v>9</v>
      </c>
      <c r="J2" s="590"/>
      <c r="K2" s="590" t="s">
        <v>13</v>
      </c>
      <c r="L2" s="590"/>
      <c r="M2" s="590"/>
      <c r="N2" s="587"/>
      <c r="O2" s="587"/>
      <c r="P2" s="599" t="s">
        <v>127</v>
      </c>
      <c r="Q2" s="599"/>
      <c r="R2" s="587" t="s">
        <v>214</v>
      </c>
      <c r="S2" s="587"/>
      <c r="T2" s="587" t="s">
        <v>282</v>
      </c>
      <c r="U2" s="587"/>
    </row>
    <row r="3" spans="1:21" s="505" customFormat="1" ht="294" customHeight="1">
      <c r="A3" s="590"/>
      <c r="B3" s="525"/>
      <c r="C3" s="525"/>
      <c r="D3" s="525" t="s">
        <v>8</v>
      </c>
      <c r="E3" s="525" t="s">
        <v>11</v>
      </c>
      <c r="F3" s="590"/>
      <c r="G3" s="593"/>
      <c r="H3" s="593"/>
      <c r="I3" s="525" t="s">
        <v>8</v>
      </c>
      <c r="J3" s="525" t="s">
        <v>10</v>
      </c>
      <c r="K3" s="525" t="s">
        <v>14</v>
      </c>
      <c r="L3" s="525" t="s">
        <v>12</v>
      </c>
      <c r="M3" s="525" t="s">
        <v>15</v>
      </c>
      <c r="N3" s="522"/>
      <c r="O3" s="522"/>
      <c r="P3" s="526" t="s">
        <v>8</v>
      </c>
      <c r="Q3" s="526" t="s">
        <v>10</v>
      </c>
      <c r="R3" s="522" t="s">
        <v>8</v>
      </c>
      <c r="S3" s="522" t="s">
        <v>10</v>
      </c>
      <c r="T3" s="553" t="s">
        <v>8</v>
      </c>
      <c r="U3" s="553" t="s">
        <v>10</v>
      </c>
    </row>
    <row r="4" spans="1:21" s="505" customFormat="1" ht="15">
      <c r="A4" s="590"/>
      <c r="B4" s="525">
        <v>1</v>
      </c>
      <c r="C4" s="525" t="s">
        <v>0</v>
      </c>
      <c r="D4" s="522">
        <v>6</v>
      </c>
      <c r="E4" s="295">
        <v>0.2857</v>
      </c>
      <c r="F4" s="502">
        <v>83.33</v>
      </c>
      <c r="G4" s="522">
        <v>83.33</v>
      </c>
      <c r="H4" s="295">
        <v>0.8333</v>
      </c>
      <c r="I4" s="522">
        <v>0</v>
      </c>
      <c r="J4" s="499">
        <v>0</v>
      </c>
      <c r="K4" s="522">
        <v>6</v>
      </c>
      <c r="L4" s="316">
        <v>1</v>
      </c>
      <c r="M4" s="309">
        <v>83.33</v>
      </c>
      <c r="N4" s="522"/>
      <c r="O4" s="295"/>
      <c r="P4" s="522">
        <v>5</v>
      </c>
      <c r="Q4" s="305">
        <v>0.8333</v>
      </c>
      <c r="R4" s="70">
        <v>0</v>
      </c>
      <c r="S4" s="295">
        <v>0</v>
      </c>
      <c r="T4" s="70">
        <v>5</v>
      </c>
      <c r="U4" s="305">
        <v>0.8333</v>
      </c>
    </row>
    <row r="5" spans="1:21" s="505" customFormat="1" ht="15">
      <c r="A5" s="590"/>
      <c r="B5" s="525">
        <v>2</v>
      </c>
      <c r="C5" s="525" t="s">
        <v>1</v>
      </c>
      <c r="D5" s="522">
        <v>1</v>
      </c>
      <c r="E5" s="48">
        <v>0.07</v>
      </c>
      <c r="F5" s="522">
        <v>70</v>
      </c>
      <c r="G5" s="522">
        <v>70</v>
      </c>
      <c r="H5" s="499">
        <v>0.7</v>
      </c>
      <c r="I5" s="522">
        <v>0</v>
      </c>
      <c r="J5" s="499">
        <v>0</v>
      </c>
      <c r="K5" s="522">
        <v>0</v>
      </c>
      <c r="L5" s="48">
        <v>0</v>
      </c>
      <c r="M5" s="522">
        <v>0</v>
      </c>
      <c r="N5" s="522"/>
      <c r="O5" s="295"/>
      <c r="P5" s="522">
        <v>0</v>
      </c>
      <c r="Q5" s="295">
        <v>0</v>
      </c>
      <c r="R5" s="70">
        <v>0</v>
      </c>
      <c r="S5" s="295">
        <v>0</v>
      </c>
      <c r="T5" s="70">
        <v>0</v>
      </c>
      <c r="U5" s="295">
        <v>0</v>
      </c>
    </row>
    <row r="6" spans="1:21" s="505" customFormat="1" ht="15">
      <c r="A6" s="590"/>
      <c r="B6" s="525">
        <v>3</v>
      </c>
      <c r="C6" s="525" t="s">
        <v>2</v>
      </c>
      <c r="D6" s="522">
        <v>1</v>
      </c>
      <c r="E6" s="48">
        <v>0.05</v>
      </c>
      <c r="F6" s="105">
        <v>44</v>
      </c>
      <c r="G6" s="522">
        <v>44</v>
      </c>
      <c r="H6" s="499">
        <v>0.44</v>
      </c>
      <c r="I6" s="522">
        <v>0</v>
      </c>
      <c r="J6" s="499">
        <v>0</v>
      </c>
      <c r="K6" s="522">
        <v>1</v>
      </c>
      <c r="L6" s="48">
        <v>1</v>
      </c>
      <c r="M6" s="94">
        <v>44</v>
      </c>
      <c r="N6" s="522"/>
      <c r="O6" s="306"/>
      <c r="P6" s="522">
        <v>0</v>
      </c>
      <c r="Q6" s="295">
        <v>0</v>
      </c>
      <c r="R6" s="70">
        <v>0</v>
      </c>
      <c r="S6" s="295">
        <v>0</v>
      </c>
      <c r="T6" s="70">
        <v>0</v>
      </c>
      <c r="U6" s="295">
        <v>0</v>
      </c>
    </row>
    <row r="7" spans="1:21" s="505" customFormat="1" ht="15">
      <c r="A7" s="590"/>
      <c r="B7" s="525">
        <v>4</v>
      </c>
      <c r="C7" s="525" t="s">
        <v>3</v>
      </c>
      <c r="D7" s="522">
        <v>1</v>
      </c>
      <c r="E7" s="48">
        <v>0.05</v>
      </c>
      <c r="F7" s="522">
        <v>52</v>
      </c>
      <c r="G7" s="522">
        <v>52</v>
      </c>
      <c r="H7" s="499">
        <v>0.52</v>
      </c>
      <c r="I7" s="522">
        <v>0</v>
      </c>
      <c r="J7" s="499">
        <v>0</v>
      </c>
      <c r="K7" s="522">
        <v>0</v>
      </c>
      <c r="L7" s="48">
        <v>0</v>
      </c>
      <c r="M7" s="522"/>
      <c r="N7" s="522"/>
      <c r="O7" s="295"/>
      <c r="P7" s="522">
        <v>0</v>
      </c>
      <c r="Q7" s="295">
        <v>0</v>
      </c>
      <c r="R7" s="70">
        <v>0</v>
      </c>
      <c r="S7" s="63">
        <v>0</v>
      </c>
      <c r="T7" s="70">
        <v>0</v>
      </c>
      <c r="U7" s="295">
        <v>0</v>
      </c>
    </row>
    <row r="8" spans="1:21" s="505" customFormat="1" ht="30">
      <c r="A8" s="590"/>
      <c r="B8" s="525">
        <v>5</v>
      </c>
      <c r="C8" s="525" t="s">
        <v>4</v>
      </c>
      <c r="D8" s="522"/>
      <c r="E8" s="48"/>
      <c r="F8" s="522"/>
      <c r="G8" s="522"/>
      <c r="H8" s="522"/>
      <c r="I8" s="522"/>
      <c r="J8" s="499"/>
      <c r="K8" s="522"/>
      <c r="L8" s="48"/>
      <c r="M8" s="522"/>
      <c r="N8" s="522"/>
      <c r="O8" s="295"/>
      <c r="P8" s="522"/>
      <c r="Q8" s="295"/>
      <c r="R8" s="70"/>
      <c r="S8" s="295"/>
      <c r="T8" s="70"/>
      <c r="U8" s="295"/>
    </row>
    <row r="9" spans="1:21" s="505" customFormat="1" ht="30">
      <c r="A9" s="590"/>
      <c r="B9" s="525">
        <v>6</v>
      </c>
      <c r="C9" s="525" t="s">
        <v>5</v>
      </c>
      <c r="D9" s="522"/>
      <c r="E9" s="48"/>
      <c r="F9" s="522"/>
      <c r="G9" s="522"/>
      <c r="H9" s="522"/>
      <c r="I9" s="522"/>
      <c r="J9" s="499"/>
      <c r="K9" s="522"/>
      <c r="L9" s="48"/>
      <c r="M9" s="522"/>
      <c r="N9" s="522"/>
      <c r="O9" s="295"/>
      <c r="P9" s="522"/>
      <c r="Q9" s="295"/>
      <c r="R9" s="70"/>
      <c r="S9" s="295"/>
      <c r="T9" s="70"/>
      <c r="U9" s="295"/>
    </row>
    <row r="10" spans="1:21" s="505" customFormat="1" ht="15">
      <c r="A10" s="590"/>
      <c r="B10" s="528"/>
      <c r="C10" s="528" t="s">
        <v>6</v>
      </c>
      <c r="D10" s="296">
        <f>SUM(D4:D9)</f>
        <v>9</v>
      </c>
      <c r="E10" s="171">
        <v>0.12</v>
      </c>
      <c r="F10" s="280">
        <v>74</v>
      </c>
      <c r="G10" s="149">
        <v>74</v>
      </c>
      <c r="H10" s="83">
        <f>G10/100</f>
        <v>0.74</v>
      </c>
      <c r="I10" s="296">
        <f>SUM(I4:I9)</f>
        <v>0</v>
      </c>
      <c r="J10" s="83">
        <v>0</v>
      </c>
      <c r="K10" s="296">
        <f>SUM(K4:K9)</f>
        <v>7</v>
      </c>
      <c r="L10" s="171">
        <v>1</v>
      </c>
      <c r="M10" s="296">
        <v>74.5</v>
      </c>
      <c r="N10" s="296">
        <f>SUM(N4:N9)</f>
        <v>0</v>
      </c>
      <c r="O10" s="298">
        <f>N10/D10</f>
        <v>0</v>
      </c>
      <c r="P10" s="296">
        <f>SUM(P4:P9)</f>
        <v>5</v>
      </c>
      <c r="Q10" s="298">
        <v>0.55</v>
      </c>
      <c r="R10" s="269">
        <v>0</v>
      </c>
      <c r="S10" s="298">
        <f>R10/D10</f>
        <v>0</v>
      </c>
      <c r="T10" s="269">
        <v>5</v>
      </c>
      <c r="U10" s="298">
        <v>0.55</v>
      </c>
    </row>
    <row r="11" spans="1:21" s="505" customFormat="1" ht="15">
      <c r="A11" s="591"/>
      <c r="B11" s="561"/>
      <c r="C11" s="561" t="s">
        <v>22</v>
      </c>
      <c r="D11" s="296"/>
      <c r="E11" s="296"/>
      <c r="F11" s="296">
        <v>72.92</v>
      </c>
      <c r="G11" s="296"/>
      <c r="H11" s="296"/>
      <c r="I11" s="296"/>
      <c r="J11" s="296">
        <v>0</v>
      </c>
      <c r="K11" s="296"/>
      <c r="L11" s="296"/>
      <c r="M11" s="296"/>
      <c r="N11" s="296"/>
      <c r="O11" s="296"/>
      <c r="P11" s="296"/>
      <c r="Q11" s="298">
        <v>0.3818</v>
      </c>
      <c r="R11" s="296"/>
      <c r="S11" s="296"/>
      <c r="T11" s="296"/>
      <c r="U11" s="295"/>
    </row>
    <row r="12" spans="1:21" s="554" customFormat="1" ht="15">
      <c r="A12" s="558"/>
      <c r="B12" s="561"/>
      <c r="C12" s="561" t="s">
        <v>277</v>
      </c>
      <c r="D12" s="296"/>
      <c r="E12" s="296"/>
      <c r="F12" s="296" t="s">
        <v>283</v>
      </c>
      <c r="G12" s="296"/>
      <c r="H12" s="296"/>
      <c r="I12" s="296"/>
      <c r="J12" s="296" t="s">
        <v>283</v>
      </c>
      <c r="K12" s="296"/>
      <c r="L12" s="296"/>
      <c r="M12" s="296"/>
      <c r="N12" s="296"/>
      <c r="O12" s="296"/>
      <c r="P12" s="296"/>
      <c r="Q12" s="298" t="s">
        <v>283</v>
      </c>
      <c r="R12" s="296"/>
      <c r="S12" s="296"/>
      <c r="T12" s="296"/>
      <c r="U12" s="295"/>
    </row>
    <row r="13" spans="1:21" s="554" customFormat="1" ht="15">
      <c r="A13" s="558"/>
      <c r="B13" s="560"/>
      <c r="C13" s="560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46"/>
      <c r="S13" s="146"/>
      <c r="T13" s="146"/>
      <c r="U13" s="148"/>
    </row>
    <row r="14" spans="2:17" s="505" customFormat="1" ht="15">
      <c r="B14" s="588" t="s">
        <v>253</v>
      </c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81"/>
      <c r="P14" s="81"/>
      <c r="Q14" s="81"/>
    </row>
    <row r="15" spans="1:19" s="505" customFormat="1" ht="15">
      <c r="A15" s="590" t="s">
        <v>228</v>
      </c>
      <c r="B15" s="506"/>
      <c r="C15" s="506"/>
      <c r="D15" s="590" t="s">
        <v>7</v>
      </c>
      <c r="E15" s="590"/>
      <c r="F15" s="590" t="s">
        <v>56</v>
      </c>
      <c r="G15" s="592" t="s">
        <v>20</v>
      </c>
      <c r="H15" s="592" t="s">
        <v>60</v>
      </c>
      <c r="I15" s="590" t="s">
        <v>9</v>
      </c>
      <c r="J15" s="590"/>
      <c r="K15" s="590" t="s">
        <v>13</v>
      </c>
      <c r="L15" s="590"/>
      <c r="M15" s="590"/>
      <c r="N15" s="587" t="s">
        <v>36</v>
      </c>
      <c r="O15" s="587"/>
      <c r="P15" s="599" t="s">
        <v>127</v>
      </c>
      <c r="Q15" s="599"/>
      <c r="R15" s="587" t="s">
        <v>214</v>
      </c>
      <c r="S15" s="587"/>
    </row>
    <row r="16" spans="1:19" s="396" customFormat="1" ht="300">
      <c r="A16" s="590"/>
      <c r="B16" s="506"/>
      <c r="C16" s="506"/>
      <c r="D16" s="506" t="s">
        <v>8</v>
      </c>
      <c r="E16" s="506" t="s">
        <v>11</v>
      </c>
      <c r="F16" s="590"/>
      <c r="G16" s="593"/>
      <c r="H16" s="593"/>
      <c r="I16" s="506" t="s">
        <v>8</v>
      </c>
      <c r="J16" s="506" t="s">
        <v>10</v>
      </c>
      <c r="K16" s="506" t="s">
        <v>14</v>
      </c>
      <c r="L16" s="506" t="s">
        <v>12</v>
      </c>
      <c r="M16" s="506" t="s">
        <v>15</v>
      </c>
      <c r="N16" s="504" t="s">
        <v>8</v>
      </c>
      <c r="O16" s="504" t="s">
        <v>10</v>
      </c>
      <c r="P16" s="507" t="s">
        <v>8</v>
      </c>
      <c r="Q16" s="507" t="s">
        <v>10</v>
      </c>
      <c r="R16" s="504" t="s">
        <v>8</v>
      </c>
      <c r="S16" s="504" t="s">
        <v>10</v>
      </c>
    </row>
    <row r="17" spans="1:19" s="22" customFormat="1" ht="77.25" customHeight="1">
      <c r="A17" s="590"/>
      <c r="B17" s="506">
        <v>1</v>
      </c>
      <c r="C17" s="506" t="s">
        <v>0</v>
      </c>
      <c r="D17" s="504">
        <v>2</v>
      </c>
      <c r="E17" s="48">
        <f>D17/27</f>
        <v>0.07407407407407407</v>
      </c>
      <c r="F17" s="504">
        <v>72</v>
      </c>
      <c r="G17" s="504">
        <v>72</v>
      </c>
      <c r="H17" s="499">
        <f>G17/100</f>
        <v>0.72</v>
      </c>
      <c r="I17" s="504">
        <v>0</v>
      </c>
      <c r="J17" s="499">
        <v>0</v>
      </c>
      <c r="K17" s="504">
        <v>2</v>
      </c>
      <c r="L17" s="48">
        <f>2/3</f>
        <v>0.6666666666666666</v>
      </c>
      <c r="M17" s="94">
        <v>72</v>
      </c>
      <c r="N17" s="504">
        <v>0</v>
      </c>
      <c r="O17" s="295">
        <f>N17/D17</f>
        <v>0</v>
      </c>
      <c r="P17" s="504">
        <v>0</v>
      </c>
      <c r="Q17" s="295">
        <f aca="true" t="shared" si="0" ref="Q17:Q22">P17/D17</f>
        <v>0</v>
      </c>
      <c r="R17" s="70">
        <v>0</v>
      </c>
      <c r="S17" s="295">
        <f>R17/H17</f>
        <v>0</v>
      </c>
    </row>
    <row r="18" spans="1:19" ht="103.5" customHeight="1">
      <c r="A18" s="590"/>
      <c r="B18" s="506">
        <v>2</v>
      </c>
      <c r="C18" s="506" t="s">
        <v>1</v>
      </c>
      <c r="D18" s="504">
        <v>0</v>
      </c>
      <c r="E18" s="48">
        <f>D18/21</f>
        <v>0</v>
      </c>
      <c r="F18" s="504" t="e">
        <f>73/D18</f>
        <v>#DIV/0!</v>
      </c>
      <c r="G18" s="504" t="e">
        <f>73/D18</f>
        <v>#DIV/0!</v>
      </c>
      <c r="H18" s="499" t="e">
        <f>G18/100</f>
        <v>#DIV/0!</v>
      </c>
      <c r="I18" s="504">
        <v>0</v>
      </c>
      <c r="J18" s="499">
        <v>0</v>
      </c>
      <c r="K18" s="504">
        <v>0</v>
      </c>
      <c r="L18" s="48">
        <v>0</v>
      </c>
      <c r="M18" s="504">
        <v>0</v>
      </c>
      <c r="N18" s="504"/>
      <c r="O18" s="295" t="e">
        <f aca="true" t="shared" si="1" ref="O18:O23">N18/D18</f>
        <v>#DIV/0!</v>
      </c>
      <c r="P18" s="504"/>
      <c r="Q18" s="295" t="e">
        <f t="shared" si="0"/>
        <v>#DIV/0!</v>
      </c>
      <c r="R18" s="70">
        <v>0</v>
      </c>
      <c r="S18" s="295">
        <v>0</v>
      </c>
    </row>
    <row r="19" spans="1:19" ht="15" customHeight="1">
      <c r="A19" s="590"/>
      <c r="B19" s="506">
        <v>3</v>
      </c>
      <c r="C19" s="506" t="s">
        <v>2</v>
      </c>
      <c r="D19" s="504">
        <v>0</v>
      </c>
      <c r="E19" s="48">
        <f>D19/27</f>
        <v>0</v>
      </c>
      <c r="F19" s="504" t="e">
        <f>164/D19</f>
        <v>#DIV/0!</v>
      </c>
      <c r="G19" s="504" t="e">
        <f>164/D19</f>
        <v>#DIV/0!</v>
      </c>
      <c r="H19" s="499" t="e">
        <f>G19/100</f>
        <v>#DIV/0!</v>
      </c>
      <c r="I19" s="504">
        <v>0</v>
      </c>
      <c r="J19" s="499">
        <v>0</v>
      </c>
      <c r="K19" s="504">
        <v>0</v>
      </c>
      <c r="L19" s="48">
        <v>0</v>
      </c>
      <c r="M19" s="94">
        <v>0</v>
      </c>
      <c r="N19" s="504">
        <v>0</v>
      </c>
      <c r="O19" s="306" t="e">
        <f t="shared" si="1"/>
        <v>#DIV/0!</v>
      </c>
      <c r="P19" s="504">
        <v>0</v>
      </c>
      <c r="Q19" s="295" t="e">
        <f t="shared" si="0"/>
        <v>#DIV/0!</v>
      </c>
      <c r="R19" s="70">
        <v>0</v>
      </c>
      <c r="S19" s="295" t="e">
        <f>R19/D19</f>
        <v>#DIV/0!</v>
      </c>
    </row>
    <row r="20" spans="1:19" ht="13.5" customHeight="1">
      <c r="A20" s="590"/>
      <c r="B20" s="506">
        <v>4</v>
      </c>
      <c r="C20" s="506" t="s">
        <v>3</v>
      </c>
      <c r="D20" s="504">
        <v>4</v>
      </c>
      <c r="E20" s="48">
        <f>D20/227</f>
        <v>0.01762114537444934</v>
      </c>
      <c r="F20" s="504">
        <v>77</v>
      </c>
      <c r="G20" s="504">
        <v>77</v>
      </c>
      <c r="H20" s="499">
        <f>G20/100</f>
        <v>0.77</v>
      </c>
      <c r="I20" s="504"/>
      <c r="J20" s="499">
        <v>0</v>
      </c>
      <c r="K20" s="504">
        <v>4</v>
      </c>
      <c r="L20" s="48">
        <v>1</v>
      </c>
      <c r="M20" s="504">
        <v>77</v>
      </c>
      <c r="N20" s="504">
        <v>0</v>
      </c>
      <c r="O20" s="295">
        <f t="shared" si="1"/>
        <v>0</v>
      </c>
      <c r="P20" s="504">
        <v>2</v>
      </c>
      <c r="Q20" s="295">
        <f t="shared" si="0"/>
        <v>0.5</v>
      </c>
      <c r="R20" s="70">
        <v>0</v>
      </c>
      <c r="S20" s="63">
        <v>0</v>
      </c>
    </row>
    <row r="21" spans="1:19" ht="30">
      <c r="A21" s="590"/>
      <c r="B21" s="506">
        <v>5</v>
      </c>
      <c r="C21" s="506" t="s">
        <v>4</v>
      </c>
      <c r="D21" s="504"/>
      <c r="E21" s="48"/>
      <c r="F21" s="504"/>
      <c r="G21" s="504"/>
      <c r="H21" s="504"/>
      <c r="I21" s="504"/>
      <c r="J21" s="499">
        <v>0</v>
      </c>
      <c r="K21" s="504"/>
      <c r="L21" s="48">
        <v>0</v>
      </c>
      <c r="M21" s="504"/>
      <c r="N21" s="504"/>
      <c r="O21" s="295" t="e">
        <f t="shared" si="1"/>
        <v>#DIV/0!</v>
      </c>
      <c r="P21" s="504"/>
      <c r="Q21" s="295" t="e">
        <f t="shared" si="0"/>
        <v>#DIV/0!</v>
      </c>
      <c r="R21" s="70" t="e">
        <f>SUM(N21:Q21)</f>
        <v>#DIV/0!</v>
      </c>
      <c r="S21" s="295"/>
    </row>
    <row r="22" spans="1:19" ht="30">
      <c r="A22" s="590"/>
      <c r="B22" s="506">
        <v>6</v>
      </c>
      <c r="C22" s="506" t="s">
        <v>5</v>
      </c>
      <c r="D22" s="504">
        <v>1</v>
      </c>
      <c r="E22" s="48">
        <f>D22/3</f>
        <v>0.3333333333333333</v>
      </c>
      <c r="F22" s="504">
        <v>47</v>
      </c>
      <c r="G22" s="504">
        <v>47</v>
      </c>
      <c r="H22" s="504"/>
      <c r="I22" s="504"/>
      <c r="J22" s="499">
        <v>0</v>
      </c>
      <c r="K22" s="504"/>
      <c r="L22" s="48">
        <v>0</v>
      </c>
      <c r="M22" s="504"/>
      <c r="N22" s="504"/>
      <c r="O22" s="295">
        <f t="shared" si="1"/>
        <v>0</v>
      </c>
      <c r="P22" s="504"/>
      <c r="Q22" s="295">
        <f t="shared" si="0"/>
        <v>0</v>
      </c>
      <c r="R22" s="70">
        <f>SUM(N22:Q22)</f>
        <v>0</v>
      </c>
      <c r="S22" s="295"/>
    </row>
    <row r="23" spans="1:19" ht="15">
      <c r="A23" s="590"/>
      <c r="B23" s="508"/>
      <c r="C23" s="508" t="s">
        <v>6</v>
      </c>
      <c r="D23" s="296">
        <f>SUM(D17:D22)</f>
        <v>7</v>
      </c>
      <c r="E23" s="171">
        <f>D23/108</f>
        <v>0.06481481481481481</v>
      </c>
      <c r="F23" s="149">
        <f>(143+308+47)/D23</f>
        <v>71.14285714285714</v>
      </c>
      <c r="G23" s="149">
        <f>F23</f>
        <v>71.14285714285714</v>
      </c>
      <c r="H23" s="83">
        <f>G23/100</f>
        <v>0.7114285714285714</v>
      </c>
      <c r="I23" s="296">
        <f>SUM(I17:I22)</f>
        <v>0</v>
      </c>
      <c r="J23" s="499">
        <v>0</v>
      </c>
      <c r="K23" s="296">
        <f>SUM(K17:K22)</f>
        <v>6</v>
      </c>
      <c r="L23" s="48">
        <v>0</v>
      </c>
      <c r="M23" s="296"/>
      <c r="N23" s="296">
        <f>SUM(N17:N22)</f>
        <v>0</v>
      </c>
      <c r="O23" s="295">
        <f t="shared" si="1"/>
        <v>0</v>
      </c>
      <c r="P23" s="296">
        <f>SUM(P17:P22)</f>
        <v>2</v>
      </c>
      <c r="Q23" s="295">
        <f>P23/D23</f>
        <v>0.2857142857142857</v>
      </c>
      <c r="R23" s="269">
        <v>0</v>
      </c>
      <c r="S23" s="295">
        <f>R23/D23</f>
        <v>0</v>
      </c>
    </row>
    <row r="24" spans="1:19" ht="15">
      <c r="A24" s="590"/>
      <c r="B24" s="508"/>
      <c r="C24" s="508" t="s">
        <v>22</v>
      </c>
      <c r="D24" s="296"/>
      <c r="E24" s="296"/>
      <c r="F24" s="296"/>
      <c r="G24" s="296"/>
      <c r="H24" s="297"/>
      <c r="I24" s="296"/>
      <c r="J24" s="296"/>
      <c r="K24" s="296"/>
      <c r="L24" s="296"/>
      <c r="M24" s="296"/>
      <c r="N24" s="296"/>
      <c r="O24" s="296"/>
      <c r="P24" s="296"/>
      <c r="Q24" s="298"/>
      <c r="R24" s="296"/>
      <c r="S24" s="296"/>
    </row>
    <row r="25" spans="1:19" ht="15">
      <c r="A25" s="505"/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R25" s="505"/>
      <c r="S25" s="505"/>
    </row>
    <row r="26" spans="1:19" ht="15.75" customHeight="1">
      <c r="A26" s="505"/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R26" s="505"/>
      <c r="S26" s="505"/>
    </row>
    <row r="27" spans="1:19" s="17" customFormat="1" ht="15">
      <c r="A27" s="396"/>
      <c r="B27" s="588" t="s">
        <v>202</v>
      </c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81"/>
      <c r="P27" s="81"/>
      <c r="Q27" s="81"/>
      <c r="R27" s="396"/>
      <c r="S27" s="396"/>
    </row>
    <row r="28" spans="1:19" ht="15">
      <c r="A28" s="590" t="s">
        <v>194</v>
      </c>
      <c r="B28" s="397"/>
      <c r="C28" s="397"/>
      <c r="D28" s="590" t="s">
        <v>7</v>
      </c>
      <c r="E28" s="590"/>
      <c r="F28" s="590" t="s">
        <v>56</v>
      </c>
      <c r="G28" s="592" t="s">
        <v>20</v>
      </c>
      <c r="H28" s="592" t="s">
        <v>60</v>
      </c>
      <c r="I28" s="590" t="s">
        <v>9</v>
      </c>
      <c r="J28" s="590"/>
      <c r="K28" s="590" t="s">
        <v>13</v>
      </c>
      <c r="L28" s="590"/>
      <c r="M28" s="590"/>
      <c r="N28" s="587" t="s">
        <v>216</v>
      </c>
      <c r="O28" s="587"/>
      <c r="P28" s="599" t="s">
        <v>127</v>
      </c>
      <c r="Q28" s="599"/>
      <c r="R28" s="587" t="s">
        <v>214</v>
      </c>
      <c r="S28" s="587"/>
    </row>
    <row r="29" spans="1:19" ht="41.25" customHeight="1">
      <c r="A29" s="590"/>
      <c r="B29" s="397"/>
      <c r="C29" s="397"/>
      <c r="D29" s="397" t="s">
        <v>8</v>
      </c>
      <c r="E29" s="397" t="s">
        <v>11</v>
      </c>
      <c r="F29" s="590"/>
      <c r="G29" s="593"/>
      <c r="H29" s="593"/>
      <c r="I29" s="397" t="s">
        <v>8</v>
      </c>
      <c r="J29" s="397" t="s">
        <v>10</v>
      </c>
      <c r="K29" s="397" t="s">
        <v>14</v>
      </c>
      <c r="L29" s="397" t="s">
        <v>12</v>
      </c>
      <c r="M29" s="397" t="s">
        <v>15</v>
      </c>
      <c r="N29" s="410" t="s">
        <v>8</v>
      </c>
      <c r="O29" s="410" t="s">
        <v>10</v>
      </c>
      <c r="P29" s="398" t="s">
        <v>8</v>
      </c>
      <c r="Q29" s="398" t="s">
        <v>10</v>
      </c>
      <c r="R29" s="395" t="s">
        <v>8</v>
      </c>
      <c r="S29" s="395" t="s">
        <v>10</v>
      </c>
    </row>
    <row r="30" spans="1:19" ht="72.75" customHeight="1">
      <c r="A30" s="590"/>
      <c r="B30" s="397">
        <v>1</v>
      </c>
      <c r="C30" s="397" t="s">
        <v>0</v>
      </c>
      <c r="D30" s="395">
        <v>2</v>
      </c>
      <c r="E30" s="48">
        <f>D30/22</f>
        <v>0.09090909090909091</v>
      </c>
      <c r="F30" s="395">
        <f>170/D30</f>
        <v>85</v>
      </c>
      <c r="G30" s="395">
        <f>170/D30</f>
        <v>85</v>
      </c>
      <c r="H30" s="65">
        <f>G30/100</f>
        <v>0.85</v>
      </c>
      <c r="I30" s="395">
        <v>0</v>
      </c>
      <c r="J30" s="65">
        <v>0</v>
      </c>
      <c r="K30" s="395">
        <v>0</v>
      </c>
      <c r="L30" s="48">
        <v>0</v>
      </c>
      <c r="M30" s="94">
        <v>0</v>
      </c>
      <c r="N30" s="410">
        <v>2</v>
      </c>
      <c r="O30" s="305">
        <f>N30/D30</f>
        <v>1</v>
      </c>
      <c r="P30" s="395">
        <v>1</v>
      </c>
      <c r="Q30" s="295">
        <f aca="true" t="shared" si="2" ref="Q30:Q36">P30/D30</f>
        <v>0.5</v>
      </c>
      <c r="R30" s="70">
        <v>0</v>
      </c>
      <c r="S30" s="295">
        <f>R30/H30</f>
        <v>0</v>
      </c>
    </row>
    <row r="31" spans="1:19" ht="15">
      <c r="A31" s="590"/>
      <c r="B31" s="397">
        <v>2</v>
      </c>
      <c r="C31" s="397" t="s">
        <v>1</v>
      </c>
      <c r="D31" s="395">
        <v>1</v>
      </c>
      <c r="E31" s="48">
        <f>D31/21</f>
        <v>0.047619047619047616</v>
      </c>
      <c r="F31" s="395">
        <f>73/D31</f>
        <v>73</v>
      </c>
      <c r="G31" s="395">
        <f>73/D31</f>
        <v>73</v>
      </c>
      <c r="H31" s="65">
        <f>G31/100</f>
        <v>0.73</v>
      </c>
      <c r="I31" s="395">
        <v>0</v>
      </c>
      <c r="J31" s="65">
        <v>0</v>
      </c>
      <c r="K31" s="395">
        <v>0</v>
      </c>
      <c r="L31" s="48">
        <v>0</v>
      </c>
      <c r="M31" s="395">
        <v>0</v>
      </c>
      <c r="N31" s="410"/>
      <c r="O31" s="295">
        <f aca="true" t="shared" si="3" ref="O31:O36">N31/D31</f>
        <v>0</v>
      </c>
      <c r="P31" s="395"/>
      <c r="Q31" s="295">
        <f t="shared" si="2"/>
        <v>0</v>
      </c>
      <c r="R31" s="70">
        <v>0</v>
      </c>
      <c r="S31" s="295">
        <v>0</v>
      </c>
    </row>
    <row r="32" spans="1:19" ht="15">
      <c r="A32" s="590"/>
      <c r="B32" s="397">
        <v>3</v>
      </c>
      <c r="C32" s="397" t="s">
        <v>2</v>
      </c>
      <c r="D32" s="395">
        <v>2</v>
      </c>
      <c r="E32" s="48">
        <f>D32/27</f>
        <v>0.07407407407407407</v>
      </c>
      <c r="F32" s="395">
        <f>164/D32</f>
        <v>82</v>
      </c>
      <c r="G32" s="395">
        <f>164/D32</f>
        <v>82</v>
      </c>
      <c r="H32" s="65">
        <f>G32/100</f>
        <v>0.82</v>
      </c>
      <c r="I32" s="395">
        <v>0</v>
      </c>
      <c r="J32" s="65">
        <v>0</v>
      </c>
      <c r="K32" s="395">
        <v>0</v>
      </c>
      <c r="L32" s="48">
        <v>0</v>
      </c>
      <c r="M32" s="94">
        <v>0</v>
      </c>
      <c r="N32" s="410">
        <v>2</v>
      </c>
      <c r="O32" s="417">
        <f t="shared" si="3"/>
        <v>1</v>
      </c>
      <c r="P32" s="395">
        <v>1</v>
      </c>
      <c r="Q32" s="295">
        <f t="shared" si="2"/>
        <v>0.5</v>
      </c>
      <c r="R32" s="70">
        <v>0</v>
      </c>
      <c r="S32" s="295">
        <f>R32/D32</f>
        <v>0</v>
      </c>
    </row>
    <row r="33" spans="1:19" ht="15">
      <c r="A33" s="590"/>
      <c r="B33" s="397">
        <v>4</v>
      </c>
      <c r="C33" s="397" t="s">
        <v>3</v>
      </c>
      <c r="D33" s="395">
        <v>2</v>
      </c>
      <c r="E33" s="48">
        <f>D33/26</f>
        <v>0.07692307692307693</v>
      </c>
      <c r="F33" s="395">
        <f>157/D33</f>
        <v>78.5</v>
      </c>
      <c r="G33" s="395">
        <f>157/D33</f>
        <v>78.5</v>
      </c>
      <c r="H33" s="65">
        <f>G33/100</f>
        <v>0.785</v>
      </c>
      <c r="I33" s="395"/>
      <c r="J33" s="65">
        <v>0</v>
      </c>
      <c r="K33" s="395">
        <v>2</v>
      </c>
      <c r="L33" s="48">
        <v>1</v>
      </c>
      <c r="M33" s="395">
        <v>78.5</v>
      </c>
      <c r="N33" s="410">
        <v>2</v>
      </c>
      <c r="O33" s="305">
        <f t="shared" si="3"/>
        <v>1</v>
      </c>
      <c r="P33" s="395">
        <v>1</v>
      </c>
      <c r="Q33" s="295">
        <f t="shared" si="2"/>
        <v>0.5</v>
      </c>
      <c r="R33" s="70">
        <v>0</v>
      </c>
      <c r="S33" s="63">
        <v>0</v>
      </c>
    </row>
    <row r="34" spans="1:19" ht="30">
      <c r="A34" s="590"/>
      <c r="B34" s="397">
        <v>5</v>
      </c>
      <c r="C34" s="397" t="s">
        <v>4</v>
      </c>
      <c r="D34" s="395"/>
      <c r="E34" s="48"/>
      <c r="F34" s="395"/>
      <c r="G34" s="395"/>
      <c r="H34" s="395"/>
      <c r="I34" s="395"/>
      <c r="J34" s="65">
        <v>0</v>
      </c>
      <c r="K34" s="395"/>
      <c r="L34" s="48">
        <v>0</v>
      </c>
      <c r="M34" s="395"/>
      <c r="N34" s="410"/>
      <c r="O34" s="295" t="e">
        <f t="shared" si="3"/>
        <v>#DIV/0!</v>
      </c>
      <c r="P34" s="395"/>
      <c r="Q34" s="295" t="e">
        <f t="shared" si="2"/>
        <v>#DIV/0!</v>
      </c>
      <c r="R34" s="70" t="e">
        <f>SUM(N34:Q34)</f>
        <v>#DIV/0!</v>
      </c>
      <c r="S34" s="295"/>
    </row>
    <row r="35" spans="1:19" ht="30">
      <c r="A35" s="590"/>
      <c r="B35" s="397">
        <v>6</v>
      </c>
      <c r="C35" s="397" t="s">
        <v>5</v>
      </c>
      <c r="D35" s="395"/>
      <c r="E35" s="48"/>
      <c r="F35" s="395"/>
      <c r="G35" s="395"/>
      <c r="H35" s="395"/>
      <c r="I35" s="395"/>
      <c r="J35" s="65">
        <v>0</v>
      </c>
      <c r="K35" s="395"/>
      <c r="L35" s="48">
        <v>0</v>
      </c>
      <c r="M35" s="395"/>
      <c r="N35" s="410"/>
      <c r="O35" s="295" t="e">
        <f t="shared" si="3"/>
        <v>#DIV/0!</v>
      </c>
      <c r="P35" s="395"/>
      <c r="Q35" s="295" t="e">
        <f t="shared" si="2"/>
        <v>#DIV/0!</v>
      </c>
      <c r="R35" s="70" t="e">
        <f>SUM(N35:Q35)</f>
        <v>#DIV/0!</v>
      </c>
      <c r="S35" s="295"/>
    </row>
    <row r="36" spans="1:19" ht="15">
      <c r="A36" s="590"/>
      <c r="B36" s="290"/>
      <c r="C36" s="290" t="s">
        <v>6</v>
      </c>
      <c r="D36" s="296">
        <f>SUM(D30:D35)</f>
        <v>7</v>
      </c>
      <c r="E36" s="171">
        <f>D36/100</f>
        <v>0.07</v>
      </c>
      <c r="F36" s="280">
        <f>564/D36</f>
        <v>80.57142857142857</v>
      </c>
      <c r="G36" s="149">
        <f>564/D36</f>
        <v>80.57142857142857</v>
      </c>
      <c r="H36" s="83">
        <f>564/(D36*100)</f>
        <v>0.8057142857142857</v>
      </c>
      <c r="I36" s="296">
        <f>SUM(I30:I35)</f>
        <v>0</v>
      </c>
      <c r="J36" s="65">
        <v>0</v>
      </c>
      <c r="K36" s="296">
        <f>SUM(K30:K35)</f>
        <v>2</v>
      </c>
      <c r="L36" s="48">
        <v>0</v>
      </c>
      <c r="M36" s="296"/>
      <c r="N36" s="296">
        <f>SUM(N30:N35)</f>
        <v>6</v>
      </c>
      <c r="O36" s="295">
        <f t="shared" si="3"/>
        <v>0.8571428571428571</v>
      </c>
      <c r="P36" s="281">
        <f>SUM(P30:P35)</f>
        <v>3</v>
      </c>
      <c r="Q36" s="295">
        <f t="shared" si="2"/>
        <v>0.42857142857142855</v>
      </c>
      <c r="R36" s="269">
        <v>0</v>
      </c>
      <c r="S36" s="295">
        <f>R36/D36</f>
        <v>0</v>
      </c>
    </row>
    <row r="37" spans="1:19" ht="15">
      <c r="A37" s="590"/>
      <c r="B37" s="290"/>
      <c r="C37" s="290" t="s">
        <v>22</v>
      </c>
      <c r="D37" s="296"/>
      <c r="E37" s="296"/>
      <c r="F37" s="296">
        <v>74</v>
      </c>
      <c r="G37" s="296"/>
      <c r="H37" s="297"/>
      <c r="I37" s="296"/>
      <c r="J37" s="296"/>
      <c r="K37" s="296"/>
      <c r="L37" s="296"/>
      <c r="M37" s="296"/>
      <c r="N37" s="296"/>
      <c r="O37" s="296"/>
      <c r="P37" s="296"/>
      <c r="Q37" s="298"/>
      <c r="R37" s="296"/>
      <c r="S37" s="296"/>
    </row>
    <row r="38" spans="1:19" ht="15">
      <c r="A38" s="396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R38" s="396"/>
      <c r="S38" s="396"/>
    </row>
    <row r="39" spans="2:14" ht="75.75" customHeight="1">
      <c r="B39" s="588" t="s">
        <v>160</v>
      </c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</row>
    <row r="40" spans="1:19" ht="45.75" customHeight="1">
      <c r="A40" s="590" t="s">
        <v>140</v>
      </c>
      <c r="B40" s="251"/>
      <c r="C40" s="251"/>
      <c r="D40" s="590" t="s">
        <v>7</v>
      </c>
      <c r="E40" s="590"/>
      <c r="F40" s="590" t="s">
        <v>56</v>
      </c>
      <c r="G40" s="592" t="s">
        <v>20</v>
      </c>
      <c r="H40" s="592" t="s">
        <v>60</v>
      </c>
      <c r="I40" s="590" t="s">
        <v>9</v>
      </c>
      <c r="J40" s="590"/>
      <c r="K40" s="590" t="s">
        <v>13</v>
      </c>
      <c r="L40" s="590"/>
      <c r="M40" s="590"/>
      <c r="N40" s="600" t="s">
        <v>164</v>
      </c>
      <c r="O40" s="600"/>
      <c r="P40" s="599" t="s">
        <v>127</v>
      </c>
      <c r="Q40" s="599"/>
      <c r="R40" s="587" t="s">
        <v>177</v>
      </c>
      <c r="S40" s="587"/>
    </row>
    <row r="41" spans="1:19" ht="300">
      <c r="A41" s="590"/>
      <c r="B41" s="251"/>
      <c r="C41" s="251"/>
      <c r="D41" s="251" t="s">
        <v>8</v>
      </c>
      <c r="E41" s="251" t="s">
        <v>11</v>
      </c>
      <c r="F41" s="590"/>
      <c r="G41" s="593"/>
      <c r="H41" s="593"/>
      <c r="I41" s="251" t="s">
        <v>8</v>
      </c>
      <c r="J41" s="251" t="s">
        <v>10</v>
      </c>
      <c r="K41" s="251" t="s">
        <v>14</v>
      </c>
      <c r="L41" s="251" t="s">
        <v>12</v>
      </c>
      <c r="M41" s="251" t="s">
        <v>15</v>
      </c>
      <c r="N41" s="253" t="s">
        <v>8</v>
      </c>
      <c r="O41" s="253" t="s">
        <v>10</v>
      </c>
      <c r="P41" s="256" t="s">
        <v>8</v>
      </c>
      <c r="Q41" s="256" t="s">
        <v>10</v>
      </c>
      <c r="R41" s="252" t="s">
        <v>8</v>
      </c>
      <c r="S41" s="252" t="s">
        <v>10</v>
      </c>
    </row>
    <row r="42" spans="1:19" ht="15">
      <c r="A42" s="590"/>
      <c r="B42" s="251">
        <v>1</v>
      </c>
      <c r="C42" s="251" t="s">
        <v>0</v>
      </c>
      <c r="D42" s="251">
        <v>2</v>
      </c>
      <c r="E42" s="7">
        <f>D42/51</f>
        <v>0.0392156862745098</v>
      </c>
      <c r="F42" s="121">
        <f>166/D42</f>
        <v>83</v>
      </c>
      <c r="G42" s="251">
        <f>166/D42</f>
        <v>83</v>
      </c>
      <c r="H42" s="257">
        <f>G42/100</f>
        <v>0.83</v>
      </c>
      <c r="I42" s="251">
        <v>0</v>
      </c>
      <c r="J42" s="257">
        <v>0</v>
      </c>
      <c r="K42" s="251">
        <v>0</v>
      </c>
      <c r="L42" s="7">
        <v>0</v>
      </c>
      <c r="M42" s="11">
        <v>0</v>
      </c>
      <c r="N42" s="253">
        <v>2</v>
      </c>
      <c r="O42" s="28">
        <f aca="true" t="shared" si="4" ref="O42:O48">N42/D42</f>
        <v>1</v>
      </c>
      <c r="P42" s="256">
        <v>1</v>
      </c>
      <c r="Q42" s="43">
        <f aca="true" t="shared" si="5" ref="Q42:Q48">P42/D42</f>
        <v>0.5</v>
      </c>
      <c r="R42" s="70">
        <v>0</v>
      </c>
      <c r="S42" s="49">
        <f>R42/H42</f>
        <v>0</v>
      </c>
    </row>
    <row r="43" spans="1:19" ht="15">
      <c r="A43" s="590"/>
      <c r="B43" s="251">
        <v>2</v>
      </c>
      <c r="C43" s="251" t="s">
        <v>1</v>
      </c>
      <c r="D43" s="251"/>
      <c r="E43" s="7">
        <f>D43/20</f>
        <v>0</v>
      </c>
      <c r="F43" s="251"/>
      <c r="G43" s="251"/>
      <c r="H43" s="251"/>
      <c r="I43" s="251"/>
      <c r="J43" s="257"/>
      <c r="K43" s="251"/>
      <c r="L43" s="257"/>
      <c r="M43" s="251"/>
      <c r="N43" s="253"/>
      <c r="O43" s="28" t="e">
        <f t="shared" si="4"/>
        <v>#DIV/0!</v>
      </c>
      <c r="P43" s="256"/>
      <c r="Q43" s="43" t="e">
        <f t="shared" si="5"/>
        <v>#DIV/0!</v>
      </c>
      <c r="R43" s="70">
        <v>0</v>
      </c>
      <c r="S43" s="49">
        <v>0</v>
      </c>
    </row>
    <row r="44" spans="1:19" ht="15">
      <c r="A44" s="590"/>
      <c r="B44" s="251">
        <v>3</v>
      </c>
      <c r="C44" s="251" t="s">
        <v>2</v>
      </c>
      <c r="D44" s="251">
        <v>1</v>
      </c>
      <c r="E44" s="7">
        <f>D44/26</f>
        <v>0.038461538461538464</v>
      </c>
      <c r="F44" s="105">
        <v>82</v>
      </c>
      <c r="G44" s="251">
        <v>82</v>
      </c>
      <c r="H44" s="257">
        <f>G44/100</f>
        <v>0.82</v>
      </c>
      <c r="I44" s="251">
        <v>0</v>
      </c>
      <c r="J44" s="257">
        <v>0</v>
      </c>
      <c r="K44" s="251">
        <v>0</v>
      </c>
      <c r="L44" s="7">
        <v>0</v>
      </c>
      <c r="M44" s="11">
        <v>0</v>
      </c>
      <c r="N44" s="253">
        <v>1</v>
      </c>
      <c r="O44" s="30">
        <f t="shared" si="4"/>
        <v>1</v>
      </c>
      <c r="P44" s="256">
        <v>1</v>
      </c>
      <c r="Q44" s="43">
        <f t="shared" si="5"/>
        <v>1</v>
      </c>
      <c r="R44" s="70">
        <v>0</v>
      </c>
      <c r="S44" s="49">
        <f>R44/D44</f>
        <v>0</v>
      </c>
    </row>
    <row r="45" spans="1:19" ht="15">
      <c r="A45" s="590"/>
      <c r="B45" s="251">
        <v>4</v>
      </c>
      <c r="C45" s="251" t="s">
        <v>3</v>
      </c>
      <c r="D45" s="251">
        <v>0</v>
      </c>
      <c r="E45" s="7">
        <f>D45/28</f>
        <v>0</v>
      </c>
      <c r="F45" s="251" t="e">
        <f>117/D45</f>
        <v>#DIV/0!</v>
      </c>
      <c r="G45" s="251" t="e">
        <f>117/D45</f>
        <v>#DIV/0!</v>
      </c>
      <c r="H45" s="257" t="e">
        <f>G45/100</f>
        <v>#DIV/0!</v>
      </c>
      <c r="I45" s="251"/>
      <c r="J45" s="257"/>
      <c r="K45" s="251"/>
      <c r="L45" s="257"/>
      <c r="M45" s="251"/>
      <c r="N45" s="253">
        <v>0</v>
      </c>
      <c r="O45" s="28" t="e">
        <f t="shared" si="4"/>
        <v>#DIV/0!</v>
      </c>
      <c r="P45" s="256"/>
      <c r="Q45" s="43" t="e">
        <f t="shared" si="5"/>
        <v>#DIV/0!</v>
      </c>
      <c r="R45" s="70">
        <v>0</v>
      </c>
      <c r="S45" s="63">
        <v>0</v>
      </c>
    </row>
    <row r="46" spans="1:19" ht="30">
      <c r="A46" s="590"/>
      <c r="B46" s="251">
        <v>5</v>
      </c>
      <c r="C46" s="251" t="s">
        <v>4</v>
      </c>
      <c r="D46" s="251"/>
      <c r="E46" s="7"/>
      <c r="F46" s="251"/>
      <c r="G46" s="251"/>
      <c r="H46" s="251"/>
      <c r="I46" s="251"/>
      <c r="J46" s="257"/>
      <c r="K46" s="251"/>
      <c r="L46" s="251"/>
      <c r="M46" s="251"/>
      <c r="N46" s="253"/>
      <c r="O46" s="28" t="e">
        <f t="shared" si="4"/>
        <v>#DIV/0!</v>
      </c>
      <c r="P46" s="256"/>
      <c r="Q46" s="43" t="e">
        <f t="shared" si="5"/>
        <v>#DIV/0!</v>
      </c>
      <c r="R46" s="70" t="e">
        <f>SUM(N46:Q46)</f>
        <v>#DIV/0!</v>
      </c>
      <c r="S46" s="49"/>
    </row>
    <row r="47" spans="1:19" ht="30">
      <c r="A47" s="590"/>
      <c r="B47" s="251">
        <v>6</v>
      </c>
      <c r="C47" s="251" t="s">
        <v>5</v>
      </c>
      <c r="D47" s="251"/>
      <c r="E47" s="7"/>
      <c r="F47" s="251"/>
      <c r="G47" s="251"/>
      <c r="H47" s="251"/>
      <c r="I47" s="251"/>
      <c r="J47" s="257"/>
      <c r="K47" s="251"/>
      <c r="L47" s="251"/>
      <c r="M47" s="251"/>
      <c r="N47" s="253"/>
      <c r="O47" s="28" t="e">
        <f t="shared" si="4"/>
        <v>#DIV/0!</v>
      </c>
      <c r="P47" s="256"/>
      <c r="Q47" s="43" t="e">
        <f t="shared" si="5"/>
        <v>#DIV/0!</v>
      </c>
      <c r="R47" s="70" t="e">
        <f>SUM(N47:Q47)</f>
        <v>#DIV/0!</v>
      </c>
      <c r="S47" s="49"/>
    </row>
    <row r="48" spans="1:19" ht="15">
      <c r="A48" s="590"/>
      <c r="B48" s="6"/>
      <c r="C48" s="6" t="s">
        <v>6</v>
      </c>
      <c r="D48" s="6">
        <f>SUM(D42:D47)</f>
        <v>3</v>
      </c>
      <c r="E48" s="10">
        <f>D48/123</f>
        <v>0.024390243902439025</v>
      </c>
      <c r="F48" s="280">
        <f>233/D48</f>
        <v>77.66666666666667</v>
      </c>
      <c r="G48" s="67">
        <f>233/D48</f>
        <v>77.66666666666667</v>
      </c>
      <c r="H48" s="13">
        <f>233/(D48*100)</f>
        <v>0.7766666666666666</v>
      </c>
      <c r="I48" s="6"/>
      <c r="J48" s="13"/>
      <c r="K48" s="6"/>
      <c r="L48" s="6"/>
      <c r="M48" s="6"/>
      <c r="N48" s="29">
        <f>SUM(N42:N47)</f>
        <v>3</v>
      </c>
      <c r="O48" s="28">
        <f t="shared" si="4"/>
        <v>1</v>
      </c>
      <c r="P48" s="281">
        <f>SUM(P42:P47)</f>
        <v>2</v>
      </c>
      <c r="Q48" s="305">
        <f t="shared" si="5"/>
        <v>0.6666666666666666</v>
      </c>
      <c r="R48" s="269">
        <v>0</v>
      </c>
      <c r="S48" s="49">
        <f>R48/D48</f>
        <v>0</v>
      </c>
    </row>
    <row r="49" spans="1:19" ht="15">
      <c r="A49" s="590"/>
      <c r="B49" s="6"/>
      <c r="C49" s="6" t="s">
        <v>22</v>
      </c>
      <c r="D49" s="6"/>
      <c r="E49" s="6"/>
      <c r="F49" s="6">
        <v>70.39</v>
      </c>
      <c r="G49" s="6"/>
      <c r="H49" s="254"/>
      <c r="I49" s="6"/>
      <c r="J49" s="6"/>
      <c r="K49" s="6"/>
      <c r="L49" s="6"/>
      <c r="M49" s="6"/>
      <c r="N49" s="29"/>
      <c r="O49" s="29"/>
      <c r="P49" s="44"/>
      <c r="Q49" s="86"/>
      <c r="R49" s="50"/>
      <c r="S49" s="50"/>
    </row>
    <row r="50" spans="1:19" ht="15">
      <c r="A50" s="598" t="s">
        <v>138</v>
      </c>
      <c r="B50" s="19"/>
      <c r="C50" s="19"/>
      <c r="D50" s="590" t="s">
        <v>7</v>
      </c>
      <c r="E50" s="590"/>
      <c r="F50" s="590" t="s">
        <v>56</v>
      </c>
      <c r="G50" s="592" t="s">
        <v>20</v>
      </c>
      <c r="H50" s="592" t="s">
        <v>60</v>
      </c>
      <c r="I50" s="590" t="s">
        <v>9</v>
      </c>
      <c r="J50" s="590"/>
      <c r="K50" s="590" t="s">
        <v>13</v>
      </c>
      <c r="L50" s="590"/>
      <c r="M50" s="590"/>
      <c r="N50" s="600" t="s">
        <v>36</v>
      </c>
      <c r="O50" s="600"/>
      <c r="P50" s="599" t="s">
        <v>127</v>
      </c>
      <c r="Q50" s="599"/>
      <c r="R50" s="587" t="s">
        <v>161</v>
      </c>
      <c r="S50" s="587"/>
    </row>
    <row r="51" spans="1:19" ht="300">
      <c r="A51" s="590"/>
      <c r="B51" s="19"/>
      <c r="C51" s="19"/>
      <c r="D51" s="19" t="s">
        <v>8</v>
      </c>
      <c r="E51" s="19" t="s">
        <v>11</v>
      </c>
      <c r="F51" s="590"/>
      <c r="G51" s="593"/>
      <c r="H51" s="593"/>
      <c r="I51" s="19" t="s">
        <v>8</v>
      </c>
      <c r="J51" s="19" t="s">
        <v>10</v>
      </c>
      <c r="K51" s="19" t="s">
        <v>14</v>
      </c>
      <c r="L51" s="19" t="s">
        <v>12</v>
      </c>
      <c r="M51" s="19" t="s">
        <v>15</v>
      </c>
      <c r="N51" s="253" t="s">
        <v>8</v>
      </c>
      <c r="O51" s="253" t="s">
        <v>10</v>
      </c>
      <c r="P51" s="80" t="s">
        <v>8</v>
      </c>
      <c r="Q51" s="80" t="s">
        <v>10</v>
      </c>
      <c r="R51" s="252" t="s">
        <v>8</v>
      </c>
      <c r="S51" s="252" t="s">
        <v>10</v>
      </c>
    </row>
    <row r="52" spans="1:19" ht="15">
      <c r="A52" s="590"/>
      <c r="B52" s="19">
        <v>1</v>
      </c>
      <c r="C52" s="19" t="s">
        <v>0</v>
      </c>
      <c r="D52" s="19">
        <v>1</v>
      </c>
      <c r="E52" s="7">
        <f>D52/25</f>
        <v>0.04</v>
      </c>
      <c r="F52" s="19">
        <v>29</v>
      </c>
      <c r="G52" s="77">
        <v>29</v>
      </c>
      <c r="H52" s="160">
        <f>G52/100</f>
        <v>0.29</v>
      </c>
      <c r="I52" s="19"/>
      <c r="J52" s="12"/>
      <c r="K52" s="19"/>
      <c r="L52" s="7"/>
      <c r="M52" s="11"/>
      <c r="N52" s="253">
        <v>0</v>
      </c>
      <c r="O52" s="28">
        <f aca="true" t="shared" si="6" ref="O52:O58">N52/D52</f>
        <v>0</v>
      </c>
      <c r="P52" s="80"/>
      <c r="Q52" s="43">
        <f aca="true" t="shared" si="7" ref="Q52:Q58">P52/D52</f>
        <v>0</v>
      </c>
      <c r="R52" s="70">
        <v>0</v>
      </c>
      <c r="S52" s="49">
        <f>R52/H52</f>
        <v>0</v>
      </c>
    </row>
    <row r="53" spans="1:19" ht="15">
      <c r="A53" s="590"/>
      <c r="B53" s="19">
        <v>2</v>
      </c>
      <c r="C53" s="19" t="s">
        <v>1</v>
      </c>
      <c r="D53" s="19"/>
      <c r="E53" s="7">
        <f>D53/20</f>
        <v>0</v>
      </c>
      <c r="F53" s="19"/>
      <c r="G53" s="77"/>
      <c r="H53" s="77"/>
      <c r="I53" s="19"/>
      <c r="J53" s="12"/>
      <c r="K53" s="19"/>
      <c r="L53" s="12"/>
      <c r="M53" s="19"/>
      <c r="N53" s="253"/>
      <c r="O53" s="28" t="e">
        <f t="shared" si="6"/>
        <v>#DIV/0!</v>
      </c>
      <c r="P53" s="80"/>
      <c r="Q53" s="43" t="e">
        <f t="shared" si="7"/>
        <v>#DIV/0!</v>
      </c>
      <c r="R53" s="70">
        <v>0</v>
      </c>
      <c r="S53" s="49">
        <v>0</v>
      </c>
    </row>
    <row r="54" spans="1:19" ht="15">
      <c r="A54" s="590"/>
      <c r="B54" s="19">
        <v>3</v>
      </c>
      <c r="C54" s="19" t="s">
        <v>2</v>
      </c>
      <c r="D54" s="19">
        <v>1</v>
      </c>
      <c r="E54" s="7">
        <f>D54/27</f>
        <v>0.037037037037037035</v>
      </c>
      <c r="F54" s="19">
        <v>87</v>
      </c>
      <c r="G54" s="77">
        <v>87</v>
      </c>
      <c r="H54" s="160">
        <f>G54/100</f>
        <v>0.87</v>
      </c>
      <c r="I54" s="19"/>
      <c r="J54" s="12"/>
      <c r="K54" s="19"/>
      <c r="L54" s="7"/>
      <c r="M54" s="11"/>
      <c r="N54" s="253">
        <v>1</v>
      </c>
      <c r="O54" s="30">
        <f t="shared" si="6"/>
        <v>1</v>
      </c>
      <c r="P54" s="80">
        <v>1</v>
      </c>
      <c r="Q54" s="43">
        <f t="shared" si="7"/>
        <v>1</v>
      </c>
      <c r="R54" s="70">
        <v>0</v>
      </c>
      <c r="S54" s="49">
        <f>R54/D54</f>
        <v>0</v>
      </c>
    </row>
    <row r="55" spans="1:19" ht="15">
      <c r="A55" s="590"/>
      <c r="B55" s="19">
        <v>4</v>
      </c>
      <c r="C55" s="19" t="s">
        <v>3</v>
      </c>
      <c r="D55" s="19">
        <v>2</v>
      </c>
      <c r="E55" s="7">
        <f>D55/28</f>
        <v>0.07142857142857142</v>
      </c>
      <c r="F55" s="19">
        <f>117/D55</f>
        <v>58.5</v>
      </c>
      <c r="G55" s="77">
        <f>117/D55</f>
        <v>58.5</v>
      </c>
      <c r="H55" s="160">
        <f>G55/100</f>
        <v>0.585</v>
      </c>
      <c r="I55" s="19"/>
      <c r="J55" s="12"/>
      <c r="K55" s="19"/>
      <c r="L55" s="12"/>
      <c r="M55" s="19"/>
      <c r="N55" s="253">
        <v>0</v>
      </c>
      <c r="O55" s="28">
        <f t="shared" si="6"/>
        <v>0</v>
      </c>
      <c r="P55" s="80"/>
      <c r="Q55" s="43">
        <f t="shared" si="7"/>
        <v>0</v>
      </c>
      <c r="R55" s="70">
        <v>0</v>
      </c>
      <c r="S55" s="63">
        <v>0</v>
      </c>
    </row>
    <row r="56" spans="1:19" ht="30">
      <c r="A56" s="590"/>
      <c r="B56" s="19">
        <v>5</v>
      </c>
      <c r="C56" s="19" t="s">
        <v>4</v>
      </c>
      <c r="D56" s="19"/>
      <c r="E56" s="7"/>
      <c r="F56" s="19"/>
      <c r="G56" s="77"/>
      <c r="H56" s="77"/>
      <c r="I56" s="19"/>
      <c r="J56" s="12"/>
      <c r="K56" s="19"/>
      <c r="L56" s="19"/>
      <c r="M56" s="19"/>
      <c r="N56" s="253"/>
      <c r="O56" s="28" t="e">
        <f t="shared" si="6"/>
        <v>#DIV/0!</v>
      </c>
      <c r="P56" s="80"/>
      <c r="Q56" s="43" t="e">
        <f t="shared" si="7"/>
        <v>#DIV/0!</v>
      </c>
      <c r="R56" s="70" t="e">
        <f>SUM(N56:Q56)</f>
        <v>#DIV/0!</v>
      </c>
      <c r="S56" s="49"/>
    </row>
    <row r="57" spans="1:19" ht="30">
      <c r="A57" s="590"/>
      <c r="B57" s="19">
        <v>6</v>
      </c>
      <c r="C57" s="19" t="s">
        <v>5</v>
      </c>
      <c r="D57" s="19"/>
      <c r="E57" s="7"/>
      <c r="F57" s="19"/>
      <c r="G57" s="77"/>
      <c r="H57" s="77"/>
      <c r="I57" s="19"/>
      <c r="J57" s="12"/>
      <c r="K57" s="19"/>
      <c r="L57" s="19"/>
      <c r="M57" s="19"/>
      <c r="N57" s="253"/>
      <c r="O57" s="28" t="e">
        <f t="shared" si="6"/>
        <v>#DIV/0!</v>
      </c>
      <c r="P57" s="80"/>
      <c r="Q57" s="43" t="e">
        <f t="shared" si="7"/>
        <v>#DIV/0!</v>
      </c>
      <c r="R57" s="70" t="e">
        <f>SUM(N57:Q57)</f>
        <v>#DIV/0!</v>
      </c>
      <c r="S57" s="49"/>
    </row>
    <row r="58" spans="1:19" ht="15">
      <c r="A58" s="590"/>
      <c r="B58" s="6"/>
      <c r="C58" s="6" t="s">
        <v>6</v>
      </c>
      <c r="D58" s="6">
        <f>SUM(D52:D57)</f>
        <v>4</v>
      </c>
      <c r="E58" s="10">
        <f>D58/107</f>
        <v>0.037383177570093455</v>
      </c>
      <c r="F58" s="67">
        <f>233/D58</f>
        <v>58.25</v>
      </c>
      <c r="G58" s="67">
        <f>233/D58</f>
        <v>58.25</v>
      </c>
      <c r="H58" s="13">
        <f>233/(D58*100)</f>
        <v>0.5825</v>
      </c>
      <c r="I58" s="6"/>
      <c r="J58" s="13"/>
      <c r="K58" s="6"/>
      <c r="L58" s="6"/>
      <c r="M58" s="6"/>
      <c r="N58" s="29">
        <f>SUM(N52:N57)</f>
        <v>1</v>
      </c>
      <c r="O58" s="28">
        <f t="shared" si="6"/>
        <v>0.25</v>
      </c>
      <c r="P58" s="44">
        <f>SUM(P52:P57)</f>
        <v>1</v>
      </c>
      <c r="Q58" s="43">
        <f t="shared" si="7"/>
        <v>0.25</v>
      </c>
      <c r="R58" s="269">
        <v>0</v>
      </c>
      <c r="S58" s="49">
        <f>R58/D58</f>
        <v>0</v>
      </c>
    </row>
    <row r="59" spans="1:19" ht="15">
      <c r="A59" s="590"/>
      <c r="B59" s="6"/>
      <c r="C59" s="6" t="s">
        <v>22</v>
      </c>
      <c r="D59" s="6"/>
      <c r="E59" s="6"/>
      <c r="F59" s="6">
        <v>73.16</v>
      </c>
      <c r="G59" s="6"/>
      <c r="H59" s="22"/>
      <c r="I59" s="6"/>
      <c r="J59" s="6"/>
      <c r="K59" s="6"/>
      <c r="L59" s="6"/>
      <c r="M59" s="6"/>
      <c r="N59" s="29"/>
      <c r="O59" s="29" t="s">
        <v>162</v>
      </c>
      <c r="P59" s="44"/>
      <c r="Q59" s="86">
        <v>0.357</v>
      </c>
      <c r="R59" s="50"/>
      <c r="S59" s="50"/>
    </row>
  </sheetData>
  <sheetProtection/>
  <mergeCells count="55">
    <mergeCell ref="T2:U2"/>
    <mergeCell ref="P2:Q2"/>
    <mergeCell ref="R2:S2"/>
    <mergeCell ref="B1:N1"/>
    <mergeCell ref="A2:A11"/>
    <mergeCell ref="D2:E2"/>
    <mergeCell ref="F2:F3"/>
    <mergeCell ref="G2:G3"/>
    <mergeCell ref="H2:H3"/>
    <mergeCell ref="I2:J2"/>
    <mergeCell ref="K2:M2"/>
    <mergeCell ref="N2:O2"/>
    <mergeCell ref="P15:Q15"/>
    <mergeCell ref="R15:S15"/>
    <mergeCell ref="B14:N14"/>
    <mergeCell ref="A15:A24"/>
    <mergeCell ref="D15:E15"/>
    <mergeCell ref="F15:F16"/>
    <mergeCell ref="G15:G16"/>
    <mergeCell ref="H15:H16"/>
    <mergeCell ref="I15:J15"/>
    <mergeCell ref="I28:J28"/>
    <mergeCell ref="K15:M15"/>
    <mergeCell ref="N15:O15"/>
    <mergeCell ref="B39:N39"/>
    <mergeCell ref="P28:Q28"/>
    <mergeCell ref="R28:S28"/>
    <mergeCell ref="B27:N27"/>
    <mergeCell ref="K28:M28"/>
    <mergeCell ref="D40:E40"/>
    <mergeCell ref="A28:A37"/>
    <mergeCell ref="D28:E28"/>
    <mergeCell ref="F28:F29"/>
    <mergeCell ref="G28:G29"/>
    <mergeCell ref="H28:H29"/>
    <mergeCell ref="N40:O40"/>
    <mergeCell ref="H50:H51"/>
    <mergeCell ref="I40:J40"/>
    <mergeCell ref="N28:O28"/>
    <mergeCell ref="A40:A49"/>
    <mergeCell ref="G50:G51"/>
    <mergeCell ref="F40:F41"/>
    <mergeCell ref="H40:H41"/>
    <mergeCell ref="K40:M40"/>
    <mergeCell ref="A50:A59"/>
    <mergeCell ref="R50:S50"/>
    <mergeCell ref="P50:Q50"/>
    <mergeCell ref="P40:Q40"/>
    <mergeCell ref="R40:S40"/>
    <mergeCell ref="N50:O50"/>
    <mergeCell ref="D50:E50"/>
    <mergeCell ref="F50:F51"/>
    <mergeCell ref="I50:J50"/>
    <mergeCell ref="K50:M50"/>
    <mergeCell ref="G40:G41"/>
  </mergeCells>
  <printOptions/>
  <pageMargins left="0.7" right="0.7" top="0.75" bottom="0.75" header="0.3" footer="0.3"/>
  <pageSetup fitToHeight="1" fitToWidth="1" horizontalDpi="600" verticalDpi="600" orientation="landscape" paperSize="9" scale="33" r:id="rId1"/>
  <rowBreaks count="2" manualBreakCount="2">
    <brk id="37" max="20" man="1"/>
    <brk id="59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60"/>
  <sheetViews>
    <sheetView view="pageBreakPreview" zoomScaleSheetLayoutView="100" zoomScalePageLayoutView="0" workbookViewId="0" topLeftCell="A1">
      <selection activeCell="U12" sqref="A1:U12"/>
    </sheetView>
  </sheetViews>
  <sheetFormatPr defaultColWidth="9.140625" defaultRowHeight="15"/>
  <cols>
    <col min="1" max="1" width="9.140625" style="182" customWidth="1"/>
    <col min="2" max="2" width="6.421875" style="15" customWidth="1"/>
    <col min="3" max="3" width="11.00390625" style="15" customWidth="1"/>
    <col min="4" max="4" width="5.421875" style="15" customWidth="1"/>
    <col min="5" max="5" width="7.57421875" style="15" customWidth="1"/>
    <col min="6" max="6" width="8.7109375" style="15" customWidth="1"/>
    <col min="7" max="7" width="5.140625" style="76" customWidth="1"/>
    <col min="8" max="8" width="7.421875" style="76" customWidth="1"/>
    <col min="9" max="9" width="6.00390625" style="15" customWidth="1"/>
    <col min="10" max="10" width="4.8515625" style="15" customWidth="1"/>
    <col min="11" max="11" width="9.140625" style="15" customWidth="1"/>
    <col min="12" max="13" width="11.57421875" style="15" bestFit="1" customWidth="1"/>
    <col min="14" max="16384" width="9.140625" style="15" customWidth="1"/>
  </cols>
  <sheetData>
    <row r="1" spans="1:19" s="463" customFormat="1" ht="45" customHeight="1">
      <c r="A1" s="510"/>
      <c r="B1" s="602" t="s">
        <v>261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511"/>
      <c r="S1" s="511"/>
    </row>
    <row r="2" spans="1:21" s="463" customFormat="1" ht="48.75" customHeight="1">
      <c r="A2" s="592" t="s">
        <v>256</v>
      </c>
      <c r="B2" s="512"/>
      <c r="C2" s="512"/>
      <c r="D2" s="590" t="s">
        <v>7</v>
      </c>
      <c r="E2" s="590"/>
      <c r="F2" s="590" t="s">
        <v>50</v>
      </c>
      <c r="G2" s="592" t="s">
        <v>20</v>
      </c>
      <c r="H2" s="592" t="s">
        <v>175</v>
      </c>
      <c r="I2" s="590" t="s">
        <v>9</v>
      </c>
      <c r="J2" s="590"/>
      <c r="K2" s="590" t="s">
        <v>13</v>
      </c>
      <c r="L2" s="590"/>
      <c r="M2" s="590"/>
      <c r="N2" s="587" t="s">
        <v>262</v>
      </c>
      <c r="O2" s="587"/>
      <c r="P2" s="587" t="s">
        <v>128</v>
      </c>
      <c r="Q2" s="587"/>
      <c r="R2" s="601" t="s">
        <v>233</v>
      </c>
      <c r="S2" s="589"/>
      <c r="T2" s="587" t="s">
        <v>281</v>
      </c>
      <c r="U2" s="587"/>
    </row>
    <row r="3" spans="1:21" s="463" customFormat="1" ht="180">
      <c r="A3" s="603"/>
      <c r="B3" s="512"/>
      <c r="C3" s="512"/>
      <c r="D3" s="512" t="s">
        <v>8</v>
      </c>
      <c r="E3" s="512" t="s">
        <v>11</v>
      </c>
      <c r="F3" s="590"/>
      <c r="G3" s="593"/>
      <c r="H3" s="593"/>
      <c r="I3" s="512" t="s">
        <v>8</v>
      </c>
      <c r="J3" s="512" t="s">
        <v>10</v>
      </c>
      <c r="K3" s="512" t="s">
        <v>14</v>
      </c>
      <c r="L3" s="512" t="s">
        <v>12</v>
      </c>
      <c r="M3" s="512" t="s">
        <v>15</v>
      </c>
      <c r="N3" s="509" t="s">
        <v>8</v>
      </c>
      <c r="O3" s="509" t="s">
        <v>10</v>
      </c>
      <c r="P3" s="509" t="s">
        <v>8</v>
      </c>
      <c r="Q3" s="509" t="s">
        <v>10</v>
      </c>
      <c r="R3" s="509" t="s">
        <v>8</v>
      </c>
      <c r="S3" s="509" t="s">
        <v>10</v>
      </c>
      <c r="T3" s="553" t="s">
        <v>8</v>
      </c>
      <c r="U3" s="553" t="s">
        <v>10</v>
      </c>
    </row>
    <row r="4" spans="1:21" s="463" customFormat="1" ht="15">
      <c r="A4" s="603"/>
      <c r="B4" s="509">
        <v>1</v>
      </c>
      <c r="C4" s="509" t="s">
        <v>0</v>
      </c>
      <c r="D4" s="509">
        <v>1</v>
      </c>
      <c r="E4" s="295">
        <v>0.0476</v>
      </c>
      <c r="F4" s="399">
        <v>66</v>
      </c>
      <c r="G4" s="509">
        <v>37</v>
      </c>
      <c r="H4" s="295">
        <v>0.7872</v>
      </c>
      <c r="I4" s="509">
        <v>0</v>
      </c>
      <c r="J4" s="499">
        <v>0</v>
      </c>
      <c r="K4" s="509">
        <v>0</v>
      </c>
      <c r="L4" s="48">
        <v>0</v>
      </c>
      <c r="M4" s="94">
        <v>0</v>
      </c>
      <c r="N4" s="509">
        <v>0</v>
      </c>
      <c r="O4" s="499">
        <v>0</v>
      </c>
      <c r="P4" s="509">
        <v>0</v>
      </c>
      <c r="Q4" s="499">
        <v>0</v>
      </c>
      <c r="R4" s="512">
        <v>0</v>
      </c>
      <c r="S4" s="512">
        <v>0</v>
      </c>
      <c r="T4" s="70">
        <v>1</v>
      </c>
      <c r="U4" s="295">
        <v>1</v>
      </c>
    </row>
    <row r="5" spans="1:21" s="463" customFormat="1" ht="15">
      <c r="A5" s="603"/>
      <c r="B5" s="509">
        <v>2</v>
      </c>
      <c r="C5" s="509" t="s">
        <v>1</v>
      </c>
      <c r="D5" s="509"/>
      <c r="E5" s="48"/>
      <c r="F5" s="399"/>
      <c r="G5" s="509"/>
      <c r="H5" s="499"/>
      <c r="I5" s="509"/>
      <c r="J5" s="499"/>
      <c r="K5" s="509"/>
      <c r="L5" s="499"/>
      <c r="M5" s="509"/>
      <c r="N5" s="509"/>
      <c r="O5" s="306"/>
      <c r="P5" s="509"/>
      <c r="Q5" s="306"/>
      <c r="R5" s="509"/>
      <c r="S5" s="48"/>
      <c r="T5" s="70"/>
      <c r="U5" s="295"/>
    </row>
    <row r="6" spans="1:21" s="463" customFormat="1" ht="15">
      <c r="A6" s="603"/>
      <c r="B6" s="509">
        <v>3</v>
      </c>
      <c r="C6" s="509" t="s">
        <v>2</v>
      </c>
      <c r="D6" s="509"/>
      <c r="E6" s="48"/>
      <c r="F6" s="399"/>
      <c r="G6" s="509"/>
      <c r="H6" s="499"/>
      <c r="I6" s="509"/>
      <c r="J6" s="499"/>
      <c r="K6" s="509"/>
      <c r="L6" s="48"/>
      <c r="M6" s="94"/>
      <c r="N6" s="509"/>
      <c r="O6" s="295"/>
      <c r="P6" s="509"/>
      <c r="Q6" s="295"/>
      <c r="R6" s="509"/>
      <c r="S6" s="509"/>
      <c r="T6" s="70"/>
      <c r="U6" s="295"/>
    </row>
    <row r="7" spans="1:21" s="463" customFormat="1" ht="15">
      <c r="A7" s="603"/>
      <c r="B7" s="509">
        <v>4</v>
      </c>
      <c r="C7" s="509" t="s">
        <v>3</v>
      </c>
      <c r="D7" s="509">
        <v>1</v>
      </c>
      <c r="E7" s="48">
        <v>0.05</v>
      </c>
      <c r="F7" s="282">
        <v>87</v>
      </c>
      <c r="G7" s="509">
        <v>44</v>
      </c>
      <c r="H7" s="499">
        <v>0.93</v>
      </c>
      <c r="I7" s="509">
        <v>0</v>
      </c>
      <c r="J7" s="499">
        <v>0</v>
      </c>
      <c r="K7" s="509">
        <v>1</v>
      </c>
      <c r="L7" s="416">
        <v>1</v>
      </c>
      <c r="M7" s="509">
        <v>87</v>
      </c>
      <c r="N7" s="509">
        <v>0</v>
      </c>
      <c r="O7" s="295">
        <v>0</v>
      </c>
      <c r="P7" s="509">
        <v>1</v>
      </c>
      <c r="Q7" s="295">
        <v>1</v>
      </c>
      <c r="R7" s="509">
        <v>0</v>
      </c>
      <c r="S7" s="509">
        <v>0</v>
      </c>
      <c r="T7" s="70">
        <v>1</v>
      </c>
      <c r="U7" s="295">
        <v>1</v>
      </c>
    </row>
    <row r="8" spans="1:21" s="463" customFormat="1" ht="30">
      <c r="A8" s="603"/>
      <c r="B8" s="509">
        <v>5</v>
      </c>
      <c r="C8" s="509" t="s">
        <v>4</v>
      </c>
      <c r="D8" s="509"/>
      <c r="E8" s="48"/>
      <c r="F8" s="399"/>
      <c r="G8" s="509"/>
      <c r="H8" s="499"/>
      <c r="I8" s="509"/>
      <c r="J8" s="499"/>
      <c r="K8" s="509"/>
      <c r="L8" s="509"/>
      <c r="M8" s="509"/>
      <c r="N8" s="509"/>
      <c r="O8" s="295"/>
      <c r="P8" s="509"/>
      <c r="Q8" s="295"/>
      <c r="R8" s="509"/>
      <c r="S8" s="509"/>
      <c r="T8" s="70"/>
      <c r="U8" s="295"/>
    </row>
    <row r="9" spans="1:21" s="463" customFormat="1" ht="45">
      <c r="A9" s="603"/>
      <c r="B9" s="509">
        <v>6</v>
      </c>
      <c r="C9" s="509" t="s">
        <v>5</v>
      </c>
      <c r="D9" s="509"/>
      <c r="E9" s="48"/>
      <c r="F9" s="399"/>
      <c r="G9" s="509"/>
      <c r="H9" s="499"/>
      <c r="I9" s="509"/>
      <c r="J9" s="499"/>
      <c r="K9" s="509"/>
      <c r="L9" s="509"/>
      <c r="M9" s="509"/>
      <c r="N9" s="509"/>
      <c r="O9" s="295"/>
      <c r="P9" s="509"/>
      <c r="Q9" s="295"/>
      <c r="R9" s="509"/>
      <c r="S9" s="509"/>
      <c r="T9" s="70"/>
      <c r="U9" s="295"/>
    </row>
    <row r="10" spans="1:21" s="488" customFormat="1" ht="15">
      <c r="A10" s="603"/>
      <c r="B10" s="296"/>
      <c r="C10" s="296" t="s">
        <v>6</v>
      </c>
      <c r="D10" s="296">
        <f>SUM(D4:D9)</f>
        <v>2</v>
      </c>
      <c r="E10" s="171">
        <v>0.02</v>
      </c>
      <c r="F10" s="501">
        <v>76.5</v>
      </c>
      <c r="G10" s="296">
        <v>40.5</v>
      </c>
      <c r="H10" s="83">
        <v>0.86</v>
      </c>
      <c r="I10" s="296">
        <v>0</v>
      </c>
      <c r="J10" s="83">
        <v>0</v>
      </c>
      <c r="K10" s="296">
        <v>1</v>
      </c>
      <c r="L10" s="296">
        <v>100</v>
      </c>
      <c r="M10" s="296">
        <v>87</v>
      </c>
      <c r="N10" s="296">
        <f>SUM(N4:N9)</f>
        <v>0</v>
      </c>
      <c r="O10" s="298">
        <f>N10/D10</f>
        <v>0</v>
      </c>
      <c r="P10" s="296">
        <f>SUM(P4:P9)</f>
        <v>1</v>
      </c>
      <c r="Q10" s="298">
        <f>P10/D10</f>
        <v>0.5</v>
      </c>
      <c r="R10" s="296">
        <f>R5</f>
        <v>0</v>
      </c>
      <c r="S10" s="83">
        <f>S5</f>
        <v>0</v>
      </c>
      <c r="T10" s="269">
        <v>2</v>
      </c>
      <c r="U10" s="302">
        <v>1</v>
      </c>
    </row>
    <row r="11" spans="1:21" s="391" customFormat="1" ht="15" customHeight="1">
      <c r="A11" s="604"/>
      <c r="B11" s="561"/>
      <c r="C11" s="561" t="s">
        <v>22</v>
      </c>
      <c r="D11" s="561"/>
      <c r="E11" s="561"/>
      <c r="F11" s="561">
        <v>63.58</v>
      </c>
      <c r="G11" s="561"/>
      <c r="H11" s="561"/>
      <c r="I11" s="561"/>
      <c r="J11" s="561">
        <v>0.81</v>
      </c>
      <c r="K11" s="561"/>
      <c r="L11" s="561"/>
      <c r="M11" s="561"/>
      <c r="N11" s="296"/>
      <c r="O11" s="296"/>
      <c r="P11" s="296"/>
      <c r="Q11" s="298">
        <v>0.1129</v>
      </c>
      <c r="R11" s="555"/>
      <c r="S11" s="555"/>
      <c r="T11" s="296"/>
      <c r="U11" s="295"/>
    </row>
    <row r="12" spans="1:21" s="554" customFormat="1" ht="15" customHeight="1">
      <c r="A12" s="558"/>
      <c r="B12" s="561"/>
      <c r="C12" s="561" t="s">
        <v>277</v>
      </c>
      <c r="D12" s="561"/>
      <c r="E12" s="561"/>
      <c r="F12" s="561">
        <v>59.06</v>
      </c>
      <c r="G12" s="561"/>
      <c r="H12" s="561"/>
      <c r="I12" s="561"/>
      <c r="J12" s="561">
        <v>5.35</v>
      </c>
      <c r="K12" s="561"/>
      <c r="L12" s="561"/>
      <c r="M12" s="561"/>
      <c r="N12" s="296"/>
      <c r="O12" s="296"/>
      <c r="P12" s="296"/>
      <c r="Q12" s="298">
        <v>0.105</v>
      </c>
      <c r="R12" s="555"/>
      <c r="S12" s="555"/>
      <c r="T12" s="296"/>
      <c r="U12" s="295"/>
    </row>
    <row r="13" spans="1:21" s="554" customFormat="1" ht="15" customHeight="1">
      <c r="A13" s="558"/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299"/>
      <c r="O13" s="299"/>
      <c r="P13" s="299"/>
      <c r="Q13" s="564"/>
      <c r="R13" s="558"/>
      <c r="S13" s="558"/>
      <c r="T13" s="146"/>
      <c r="U13" s="148"/>
    </row>
    <row r="14" spans="1:17" s="463" customFormat="1" ht="15" customHeight="1">
      <c r="A14" s="462"/>
      <c r="B14" s="602" t="s">
        <v>232</v>
      </c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</row>
    <row r="15" spans="1:19" s="463" customFormat="1" ht="15" customHeight="1">
      <c r="A15" s="592" t="s">
        <v>228</v>
      </c>
      <c r="B15" s="464"/>
      <c r="C15" s="464"/>
      <c r="D15" s="590" t="s">
        <v>7</v>
      </c>
      <c r="E15" s="590"/>
      <c r="F15" s="590" t="s">
        <v>50</v>
      </c>
      <c r="G15" s="592" t="s">
        <v>20</v>
      </c>
      <c r="H15" s="592" t="s">
        <v>175</v>
      </c>
      <c r="I15" s="590" t="s">
        <v>9</v>
      </c>
      <c r="J15" s="590"/>
      <c r="K15" s="590" t="s">
        <v>13</v>
      </c>
      <c r="L15" s="590"/>
      <c r="M15" s="590"/>
      <c r="N15" s="587" t="s">
        <v>245</v>
      </c>
      <c r="O15" s="587"/>
      <c r="P15" s="587" t="s">
        <v>128</v>
      </c>
      <c r="Q15" s="587"/>
      <c r="R15" s="601" t="s">
        <v>233</v>
      </c>
      <c r="S15" s="589"/>
    </row>
    <row r="16" spans="1:19" s="22" customFormat="1" ht="180">
      <c r="A16" s="603"/>
      <c r="B16" s="464"/>
      <c r="C16" s="464"/>
      <c r="D16" s="464" t="s">
        <v>8</v>
      </c>
      <c r="E16" s="464" t="s">
        <v>11</v>
      </c>
      <c r="F16" s="590"/>
      <c r="G16" s="593"/>
      <c r="H16" s="593"/>
      <c r="I16" s="464" t="s">
        <v>8</v>
      </c>
      <c r="J16" s="464" t="s">
        <v>10</v>
      </c>
      <c r="K16" s="464" t="s">
        <v>14</v>
      </c>
      <c r="L16" s="464" t="s">
        <v>12</v>
      </c>
      <c r="M16" s="464" t="s">
        <v>15</v>
      </c>
      <c r="N16" s="461" t="s">
        <v>8</v>
      </c>
      <c r="O16" s="461" t="s">
        <v>10</v>
      </c>
      <c r="P16" s="461" t="s">
        <v>8</v>
      </c>
      <c r="Q16" s="461" t="s">
        <v>10</v>
      </c>
      <c r="R16" s="474" t="s">
        <v>8</v>
      </c>
      <c r="S16" s="474" t="s">
        <v>10</v>
      </c>
    </row>
    <row r="17" spans="1:19" ht="48.75" customHeight="1">
      <c r="A17" s="603"/>
      <c r="B17" s="461">
        <v>1</v>
      </c>
      <c r="C17" s="461" t="s">
        <v>0</v>
      </c>
      <c r="D17" s="461">
        <v>0</v>
      </c>
      <c r="E17" s="48">
        <f>D17/51</f>
        <v>0</v>
      </c>
      <c r="F17" s="399" t="e">
        <f>(87+87)/D17</f>
        <v>#DIV/0!</v>
      </c>
      <c r="G17" s="461" t="e">
        <f>(44+44)/D17</f>
        <v>#DIV/0!</v>
      </c>
      <c r="H17" s="65" t="e">
        <f aca="true" t="shared" si="0" ref="H17:H22">G17/47</f>
        <v>#DIV/0!</v>
      </c>
      <c r="I17" s="461">
        <v>0</v>
      </c>
      <c r="J17" s="65">
        <v>0</v>
      </c>
      <c r="K17" s="461">
        <v>0</v>
      </c>
      <c r="L17" s="48">
        <v>0</v>
      </c>
      <c r="M17" s="94">
        <v>0</v>
      </c>
      <c r="N17" s="461">
        <v>0</v>
      </c>
      <c r="O17" s="65" t="e">
        <f>N17/D17</f>
        <v>#DIV/0!</v>
      </c>
      <c r="P17" s="461">
        <v>0</v>
      </c>
      <c r="Q17" s="65">
        <v>0</v>
      </c>
      <c r="R17" s="477"/>
      <c r="S17" s="477"/>
    </row>
    <row r="18" spans="1:19" ht="17.25" customHeight="1">
      <c r="A18" s="603"/>
      <c r="B18" s="461">
        <v>2</v>
      </c>
      <c r="C18" s="461" t="s">
        <v>1</v>
      </c>
      <c r="D18" s="461">
        <v>2</v>
      </c>
      <c r="E18" s="48">
        <f>D18/19</f>
        <v>0.10526315789473684</v>
      </c>
      <c r="F18" s="282">
        <f>(96+100)/D18</f>
        <v>98</v>
      </c>
      <c r="G18" s="461">
        <f>46</f>
        <v>46</v>
      </c>
      <c r="H18" s="65">
        <f t="shared" si="0"/>
        <v>0.9787234042553191</v>
      </c>
      <c r="I18" s="461">
        <v>0</v>
      </c>
      <c r="J18" s="65">
        <v>0</v>
      </c>
      <c r="K18" s="121">
        <v>2</v>
      </c>
      <c r="L18" s="416">
        <v>1</v>
      </c>
      <c r="M18" s="121">
        <v>98</v>
      </c>
      <c r="N18" s="121">
        <v>2</v>
      </c>
      <c r="O18" s="417">
        <f>N18/D18</f>
        <v>1</v>
      </c>
      <c r="P18" s="121">
        <v>2</v>
      </c>
      <c r="Q18" s="417">
        <f>P18/D18</f>
        <v>1</v>
      </c>
      <c r="R18" s="121">
        <v>1</v>
      </c>
      <c r="S18" s="316">
        <v>0.5</v>
      </c>
    </row>
    <row r="19" spans="1:19" ht="15">
      <c r="A19" s="603"/>
      <c r="B19" s="461">
        <v>3</v>
      </c>
      <c r="C19" s="461" t="s">
        <v>2</v>
      </c>
      <c r="D19" s="461">
        <v>0</v>
      </c>
      <c r="E19" s="48">
        <f>D19/25</f>
        <v>0</v>
      </c>
      <c r="F19" s="399" t="e">
        <f>(87+87)/D19</f>
        <v>#DIV/0!</v>
      </c>
      <c r="G19" s="461" t="e">
        <f>(44+44)/D19</f>
        <v>#DIV/0!</v>
      </c>
      <c r="H19" s="65" t="e">
        <f t="shared" si="0"/>
        <v>#DIV/0!</v>
      </c>
      <c r="I19" s="461"/>
      <c r="J19" s="65"/>
      <c r="K19" s="461"/>
      <c r="L19" s="48"/>
      <c r="M19" s="94"/>
      <c r="N19" s="461"/>
      <c r="O19" s="295"/>
      <c r="P19" s="461"/>
      <c r="Q19" s="295"/>
      <c r="R19" s="477"/>
      <c r="S19" s="477"/>
    </row>
    <row r="20" spans="1:19" ht="15">
      <c r="A20" s="603"/>
      <c r="B20" s="461">
        <v>4</v>
      </c>
      <c r="C20" s="461" t="s">
        <v>3</v>
      </c>
      <c r="D20" s="461">
        <v>0</v>
      </c>
      <c r="E20" s="48">
        <f>D20/25</f>
        <v>0</v>
      </c>
      <c r="F20" s="399" t="e">
        <f>(87+87)/D20</f>
        <v>#DIV/0!</v>
      </c>
      <c r="G20" s="461" t="e">
        <f>(44+44)/D20</f>
        <v>#DIV/0!</v>
      </c>
      <c r="H20" s="65" t="e">
        <f t="shared" si="0"/>
        <v>#DIV/0!</v>
      </c>
      <c r="I20" s="461">
        <v>0</v>
      </c>
      <c r="J20" s="65">
        <v>0</v>
      </c>
      <c r="K20" s="461">
        <v>0</v>
      </c>
      <c r="L20" s="65">
        <v>0</v>
      </c>
      <c r="M20" s="461">
        <v>0</v>
      </c>
      <c r="N20" s="461">
        <v>0</v>
      </c>
      <c r="O20" s="295" t="e">
        <f>N20/D20</f>
        <v>#DIV/0!</v>
      </c>
      <c r="P20" s="461">
        <v>0</v>
      </c>
      <c r="Q20" s="295" t="e">
        <f>P20/D20</f>
        <v>#DIV/0!</v>
      </c>
      <c r="R20" s="477"/>
      <c r="S20" s="477"/>
    </row>
    <row r="21" spans="1:19" ht="30">
      <c r="A21" s="603"/>
      <c r="B21" s="461">
        <v>5</v>
      </c>
      <c r="C21" s="461" t="s">
        <v>4</v>
      </c>
      <c r="D21" s="461"/>
      <c r="E21" s="48"/>
      <c r="F21" s="399" t="e">
        <f>(87+87)/D21</f>
        <v>#DIV/0!</v>
      </c>
      <c r="G21" s="461" t="e">
        <f>(44+44)/D21</f>
        <v>#DIV/0!</v>
      </c>
      <c r="H21" s="65" t="e">
        <f t="shared" si="0"/>
        <v>#DIV/0!</v>
      </c>
      <c r="I21" s="461"/>
      <c r="J21" s="65"/>
      <c r="K21" s="461"/>
      <c r="L21" s="461"/>
      <c r="M21" s="461"/>
      <c r="N21" s="461"/>
      <c r="O21" s="295"/>
      <c r="P21" s="461"/>
      <c r="Q21" s="295"/>
      <c r="R21" s="477"/>
      <c r="S21" s="477"/>
    </row>
    <row r="22" spans="1:19" ht="45">
      <c r="A22" s="603"/>
      <c r="B22" s="461">
        <v>6</v>
      </c>
      <c r="C22" s="461" t="s">
        <v>5</v>
      </c>
      <c r="D22" s="461"/>
      <c r="E22" s="48"/>
      <c r="F22" s="399" t="e">
        <f>(87+87)/D22</f>
        <v>#DIV/0!</v>
      </c>
      <c r="G22" s="461"/>
      <c r="H22" s="65">
        <f t="shared" si="0"/>
        <v>0</v>
      </c>
      <c r="I22" s="461"/>
      <c r="J22" s="65"/>
      <c r="K22" s="461"/>
      <c r="L22" s="461"/>
      <c r="M22" s="461"/>
      <c r="N22" s="461"/>
      <c r="O22" s="295"/>
      <c r="P22" s="461"/>
      <c r="Q22" s="295"/>
      <c r="R22" s="477"/>
      <c r="S22" s="477"/>
    </row>
    <row r="23" spans="1:19" ht="15">
      <c r="A23" s="603"/>
      <c r="B23" s="296"/>
      <c r="C23" s="296" t="s">
        <v>6</v>
      </c>
      <c r="D23" s="296">
        <f>SUM(D17:D22)</f>
        <v>2</v>
      </c>
      <c r="E23" s="171">
        <f>D23/108</f>
        <v>0.018518518518518517</v>
      </c>
      <c r="F23" s="501">
        <f>(96+100)/D23</f>
        <v>98</v>
      </c>
      <c r="G23" s="296">
        <f>G18</f>
        <v>46</v>
      </c>
      <c r="H23" s="83">
        <f>H18</f>
        <v>0.9787234042553191</v>
      </c>
      <c r="I23" s="296">
        <v>0</v>
      </c>
      <c r="J23" s="83">
        <v>0</v>
      </c>
      <c r="K23" s="296">
        <v>2</v>
      </c>
      <c r="L23" s="296">
        <v>100</v>
      </c>
      <c r="M23" s="296">
        <v>98</v>
      </c>
      <c r="N23" s="296">
        <f>SUM(N17:N22)</f>
        <v>2</v>
      </c>
      <c r="O23" s="298">
        <f>N23/D23</f>
        <v>1</v>
      </c>
      <c r="P23" s="296">
        <f>SUM(P17:P22)</f>
        <v>2</v>
      </c>
      <c r="Q23" s="298">
        <f>P23/D23</f>
        <v>1</v>
      </c>
      <c r="R23" s="496">
        <f>R18</f>
        <v>1</v>
      </c>
      <c r="S23" s="13">
        <f>S18</f>
        <v>0.5</v>
      </c>
    </row>
    <row r="24" spans="1:19" ht="51" customHeight="1">
      <c r="A24" s="593"/>
      <c r="B24" s="466"/>
      <c r="C24" s="466" t="s">
        <v>22</v>
      </c>
      <c r="D24" s="466"/>
      <c r="E24" s="466"/>
      <c r="F24" s="466">
        <v>65.75</v>
      </c>
      <c r="G24" s="466"/>
      <c r="H24" s="462"/>
      <c r="I24" s="466"/>
      <c r="J24" s="466"/>
      <c r="K24" s="466"/>
      <c r="L24" s="466"/>
      <c r="M24" s="466"/>
      <c r="N24" s="296"/>
      <c r="O24" s="296"/>
      <c r="P24" s="296"/>
      <c r="Q24" s="298"/>
      <c r="R24" s="391"/>
      <c r="S24" s="391"/>
    </row>
    <row r="25" spans="1:19" s="182" customFormat="1" ht="15">
      <c r="A25" s="465"/>
      <c r="B25" s="606" t="s">
        <v>231</v>
      </c>
      <c r="C25" s="607"/>
      <c r="D25" s="607"/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607"/>
      <c r="P25" s="607"/>
      <c r="Q25" s="608"/>
      <c r="R25" s="463"/>
      <c r="S25" s="463"/>
    </row>
    <row r="26" spans="1:19" ht="15" customHeight="1" hidden="1">
      <c r="A26" s="465"/>
      <c r="B26" s="609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10"/>
      <c r="R26" s="463"/>
      <c r="S26" s="463"/>
    </row>
    <row r="27" spans="1:19" s="14" customFormat="1" ht="15">
      <c r="A27" s="592" t="s">
        <v>194</v>
      </c>
      <c r="B27" s="392"/>
      <c r="C27" s="392"/>
      <c r="D27" s="590" t="s">
        <v>7</v>
      </c>
      <c r="E27" s="590"/>
      <c r="F27" s="590" t="s">
        <v>50</v>
      </c>
      <c r="G27" s="592" t="s">
        <v>20</v>
      </c>
      <c r="H27" s="592" t="s">
        <v>175</v>
      </c>
      <c r="I27" s="590" t="s">
        <v>9</v>
      </c>
      <c r="J27" s="590"/>
      <c r="K27" s="590" t="s">
        <v>13</v>
      </c>
      <c r="L27" s="590"/>
      <c r="M27" s="590"/>
      <c r="N27" s="587" t="s">
        <v>165</v>
      </c>
      <c r="O27" s="587"/>
      <c r="P27" s="587" t="s">
        <v>128</v>
      </c>
      <c r="Q27" s="587"/>
      <c r="R27" s="22"/>
      <c r="S27" s="22"/>
    </row>
    <row r="28" spans="1:17" ht="16.5" customHeight="1">
      <c r="A28" s="603"/>
      <c r="B28" s="392"/>
      <c r="C28" s="392"/>
      <c r="D28" s="392" t="s">
        <v>8</v>
      </c>
      <c r="E28" s="392" t="s">
        <v>11</v>
      </c>
      <c r="F28" s="590"/>
      <c r="G28" s="593"/>
      <c r="H28" s="593"/>
      <c r="I28" s="392" t="s">
        <v>8</v>
      </c>
      <c r="J28" s="392" t="s">
        <v>10</v>
      </c>
      <c r="K28" s="392" t="s">
        <v>14</v>
      </c>
      <c r="L28" s="392" t="s">
        <v>12</v>
      </c>
      <c r="M28" s="392" t="s">
        <v>15</v>
      </c>
      <c r="N28" s="389" t="s">
        <v>8</v>
      </c>
      <c r="O28" s="389" t="s">
        <v>10</v>
      </c>
      <c r="P28" s="389" t="s">
        <v>8</v>
      </c>
      <c r="Q28" s="389" t="s">
        <v>10</v>
      </c>
    </row>
    <row r="29" spans="1:17" ht="109.5" customHeight="1">
      <c r="A29" s="603"/>
      <c r="B29" s="389">
        <v>1</v>
      </c>
      <c r="C29" s="389" t="s">
        <v>0</v>
      </c>
      <c r="D29" s="389">
        <v>0</v>
      </c>
      <c r="E29" s="48">
        <f>D29/51</f>
        <v>0</v>
      </c>
      <c r="F29" s="399" t="e">
        <f>(87+87)/D29</f>
        <v>#DIV/0!</v>
      </c>
      <c r="G29" s="389" t="e">
        <f>(44+44)/D29</f>
        <v>#DIV/0!</v>
      </c>
      <c r="H29" s="65" t="e">
        <f aca="true" t="shared" si="1" ref="H29:H34">G29/47</f>
        <v>#DIV/0!</v>
      </c>
      <c r="I29" s="389">
        <v>0</v>
      </c>
      <c r="J29" s="65">
        <v>0</v>
      </c>
      <c r="K29" s="389">
        <v>0</v>
      </c>
      <c r="L29" s="48">
        <v>0</v>
      </c>
      <c r="M29" s="94">
        <v>0</v>
      </c>
      <c r="N29" s="389">
        <v>0</v>
      </c>
      <c r="O29" s="65" t="e">
        <f>N29/D29</f>
        <v>#DIV/0!</v>
      </c>
      <c r="P29" s="389">
        <v>0</v>
      </c>
      <c r="Q29" s="65">
        <v>0</v>
      </c>
    </row>
    <row r="30" spans="1:17" ht="15">
      <c r="A30" s="603"/>
      <c r="B30" s="389">
        <v>2</v>
      </c>
      <c r="C30" s="389" t="s">
        <v>1</v>
      </c>
      <c r="D30" s="389">
        <v>0</v>
      </c>
      <c r="E30" s="48">
        <f>D30/19</f>
        <v>0</v>
      </c>
      <c r="F30" s="399" t="e">
        <f aca="true" t="shared" si="2" ref="F30:F35">(87+87)/D30</f>
        <v>#DIV/0!</v>
      </c>
      <c r="G30" s="389" t="e">
        <f>(44+44)/D30</f>
        <v>#DIV/0!</v>
      </c>
      <c r="H30" s="65" t="e">
        <f t="shared" si="1"/>
        <v>#DIV/0!</v>
      </c>
      <c r="I30" s="389">
        <v>0</v>
      </c>
      <c r="J30" s="65">
        <v>0</v>
      </c>
      <c r="K30" s="389">
        <v>0</v>
      </c>
      <c r="L30" s="65">
        <v>0</v>
      </c>
      <c r="M30" s="389">
        <v>0</v>
      </c>
      <c r="N30" s="389">
        <v>0</v>
      </c>
      <c r="O30" s="306" t="e">
        <f>N30/D30</f>
        <v>#DIV/0!</v>
      </c>
      <c r="P30" s="389">
        <v>0</v>
      </c>
      <c r="Q30" s="306" t="e">
        <f>P30/D30</f>
        <v>#DIV/0!</v>
      </c>
    </row>
    <row r="31" spans="1:17" ht="15">
      <c r="A31" s="603"/>
      <c r="B31" s="389">
        <v>3</v>
      </c>
      <c r="C31" s="389" t="s">
        <v>2</v>
      </c>
      <c r="D31" s="389">
        <v>0</v>
      </c>
      <c r="E31" s="48">
        <f>D31/25</f>
        <v>0</v>
      </c>
      <c r="F31" s="399" t="e">
        <f t="shared" si="2"/>
        <v>#DIV/0!</v>
      </c>
      <c r="G31" s="389" t="e">
        <f>(44+44)/D31</f>
        <v>#DIV/0!</v>
      </c>
      <c r="H31" s="65" t="e">
        <f t="shared" si="1"/>
        <v>#DIV/0!</v>
      </c>
      <c r="I31" s="389"/>
      <c r="J31" s="65"/>
      <c r="K31" s="389"/>
      <c r="L31" s="48"/>
      <c r="M31" s="94"/>
      <c r="N31" s="389"/>
      <c r="O31" s="295"/>
      <c r="P31" s="389"/>
      <c r="Q31" s="295"/>
    </row>
    <row r="32" spans="1:17" ht="15">
      <c r="A32" s="603"/>
      <c r="B32" s="389">
        <v>4</v>
      </c>
      <c r="C32" s="389" t="s">
        <v>3</v>
      </c>
      <c r="D32" s="389">
        <v>0</v>
      </c>
      <c r="E32" s="48">
        <f>D32/25</f>
        <v>0</v>
      </c>
      <c r="F32" s="399" t="e">
        <f t="shared" si="2"/>
        <v>#DIV/0!</v>
      </c>
      <c r="G32" s="389" t="e">
        <f>(44+44)/D32</f>
        <v>#DIV/0!</v>
      </c>
      <c r="H32" s="65" t="e">
        <f t="shared" si="1"/>
        <v>#DIV/0!</v>
      </c>
      <c r="I32" s="389">
        <v>0</v>
      </c>
      <c r="J32" s="65">
        <v>0</v>
      </c>
      <c r="K32" s="389">
        <v>0</v>
      </c>
      <c r="L32" s="65">
        <v>0</v>
      </c>
      <c r="M32" s="389">
        <v>0</v>
      </c>
      <c r="N32" s="389">
        <v>0</v>
      </c>
      <c r="O32" s="295" t="e">
        <f>N32/D32</f>
        <v>#DIV/0!</v>
      </c>
      <c r="P32" s="389">
        <v>0</v>
      </c>
      <c r="Q32" s="295" t="e">
        <f>P32/D32</f>
        <v>#DIV/0!</v>
      </c>
    </row>
    <row r="33" spans="1:17" ht="30">
      <c r="A33" s="603"/>
      <c r="B33" s="389">
        <v>5</v>
      </c>
      <c r="C33" s="389" t="s">
        <v>4</v>
      </c>
      <c r="D33" s="389"/>
      <c r="E33" s="48"/>
      <c r="F33" s="399" t="e">
        <f t="shared" si="2"/>
        <v>#DIV/0!</v>
      </c>
      <c r="G33" s="389" t="e">
        <f>(44+44)/D33</f>
        <v>#DIV/0!</v>
      </c>
      <c r="H33" s="65" t="e">
        <f t="shared" si="1"/>
        <v>#DIV/0!</v>
      </c>
      <c r="I33" s="389"/>
      <c r="J33" s="65"/>
      <c r="K33" s="389"/>
      <c r="L33" s="389"/>
      <c r="M33" s="389"/>
      <c r="N33" s="389"/>
      <c r="O33" s="295"/>
      <c r="P33" s="389"/>
      <c r="Q33" s="295"/>
    </row>
    <row r="34" spans="1:17" ht="45">
      <c r="A34" s="603"/>
      <c r="B34" s="389">
        <v>6</v>
      </c>
      <c r="C34" s="389" t="s">
        <v>5</v>
      </c>
      <c r="D34" s="389"/>
      <c r="E34" s="48"/>
      <c r="F34" s="399" t="e">
        <f t="shared" si="2"/>
        <v>#DIV/0!</v>
      </c>
      <c r="G34" s="389"/>
      <c r="H34" s="65">
        <f t="shared" si="1"/>
        <v>0</v>
      </c>
      <c r="I34" s="389"/>
      <c r="J34" s="65"/>
      <c r="K34" s="389"/>
      <c r="L34" s="389"/>
      <c r="M34" s="389"/>
      <c r="N34" s="389"/>
      <c r="O34" s="295"/>
      <c r="P34" s="389"/>
      <c r="Q34" s="295"/>
    </row>
    <row r="35" spans="1:17" ht="15">
      <c r="A35" s="603"/>
      <c r="B35" s="296"/>
      <c r="C35" s="296" t="s">
        <v>6</v>
      </c>
      <c r="D35" s="296">
        <f>SUM(D29:D34)</f>
        <v>0</v>
      </c>
      <c r="E35" s="171">
        <f>D35/123</f>
        <v>0</v>
      </c>
      <c r="F35" s="399" t="e">
        <f t="shared" si="2"/>
        <v>#DIV/0!</v>
      </c>
      <c r="G35" s="296" t="e">
        <f>126/D35</f>
        <v>#DIV/0!</v>
      </c>
      <c r="H35" s="65" t="e">
        <f>G35/(D35*47)</f>
        <v>#DIV/0!</v>
      </c>
      <c r="I35" s="296">
        <v>0</v>
      </c>
      <c r="J35" s="83">
        <v>0</v>
      </c>
      <c r="K35" s="296">
        <v>0</v>
      </c>
      <c r="L35" s="296">
        <v>0</v>
      </c>
      <c r="M35" s="296">
        <v>0</v>
      </c>
      <c r="N35" s="296">
        <f>SUM(N29:N34)</f>
        <v>0</v>
      </c>
      <c r="O35" s="298" t="e">
        <f>N35/D35</f>
        <v>#DIV/0!</v>
      </c>
      <c r="P35" s="296">
        <f>SUM(P29:P34)</f>
        <v>0</v>
      </c>
      <c r="Q35" s="298" t="e">
        <f>P35/D35</f>
        <v>#DIV/0!</v>
      </c>
    </row>
    <row r="36" spans="1:19" ht="15">
      <c r="A36" s="603"/>
      <c r="B36" s="296"/>
      <c r="C36" s="296" t="s">
        <v>6</v>
      </c>
      <c r="D36" s="296">
        <f>SUM(D29:D34)</f>
        <v>0</v>
      </c>
      <c r="E36" s="171">
        <f>D36/107</f>
        <v>0</v>
      </c>
      <c r="F36" s="296" t="e">
        <f>69/D36</f>
        <v>#DIV/0!</v>
      </c>
      <c r="G36" s="296" t="e">
        <f>40/D36</f>
        <v>#DIV/0!</v>
      </c>
      <c r="H36" s="65" t="e">
        <f>G36/(D36*47)</f>
        <v>#DIV/0!</v>
      </c>
      <c r="I36" s="296">
        <v>0</v>
      </c>
      <c r="J36" s="83">
        <v>0</v>
      </c>
      <c r="K36" s="296">
        <v>0</v>
      </c>
      <c r="L36" s="296">
        <v>0</v>
      </c>
      <c r="M36" s="296">
        <v>0</v>
      </c>
      <c r="N36" s="296">
        <v>0</v>
      </c>
      <c r="O36" s="298" t="e">
        <f>N36/D36</f>
        <v>#DIV/0!</v>
      </c>
      <c r="P36" s="296">
        <f>SUM(P30:P34)</f>
        <v>0</v>
      </c>
      <c r="Q36" s="298" t="e">
        <f>P36/D36</f>
        <v>#DIV/0!</v>
      </c>
      <c r="R36" s="182"/>
      <c r="S36" s="182"/>
    </row>
    <row r="37" spans="1:17" ht="15">
      <c r="A37" s="593"/>
      <c r="B37" s="290"/>
      <c r="C37" s="290" t="s">
        <v>22</v>
      </c>
      <c r="D37" s="290"/>
      <c r="E37" s="290"/>
      <c r="F37" s="290">
        <v>65.58</v>
      </c>
      <c r="G37" s="290"/>
      <c r="H37" s="390"/>
      <c r="I37" s="290"/>
      <c r="J37" s="290"/>
      <c r="K37" s="290"/>
      <c r="L37" s="290"/>
      <c r="M37" s="290"/>
      <c r="N37" s="296"/>
      <c r="O37" s="296"/>
      <c r="P37" s="296"/>
      <c r="Q37" s="298"/>
    </row>
    <row r="38" spans="1:19" ht="15">
      <c r="A38" s="391"/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14"/>
      <c r="S38" s="14"/>
    </row>
    <row r="39" spans="1:14" ht="15">
      <c r="A39" s="181"/>
      <c r="B39" s="588" t="s">
        <v>142</v>
      </c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</row>
    <row r="40" spans="1:17" ht="15">
      <c r="A40" s="592" t="s">
        <v>140</v>
      </c>
      <c r="B40" s="289"/>
      <c r="C40" s="289"/>
      <c r="D40" s="590" t="s">
        <v>7</v>
      </c>
      <c r="E40" s="590"/>
      <c r="F40" s="590" t="s">
        <v>50</v>
      </c>
      <c r="G40" s="592" t="s">
        <v>20</v>
      </c>
      <c r="H40" s="592" t="s">
        <v>175</v>
      </c>
      <c r="I40" s="590" t="s">
        <v>9</v>
      </c>
      <c r="J40" s="590"/>
      <c r="K40" s="590" t="s">
        <v>13</v>
      </c>
      <c r="L40" s="590"/>
      <c r="M40" s="590"/>
      <c r="N40" s="587" t="s">
        <v>165</v>
      </c>
      <c r="O40" s="587"/>
      <c r="P40" s="587" t="s">
        <v>128</v>
      </c>
      <c r="Q40" s="587"/>
    </row>
    <row r="41" spans="1:17" ht="180">
      <c r="A41" s="603"/>
      <c r="B41" s="289"/>
      <c r="C41" s="289"/>
      <c r="D41" s="289" t="s">
        <v>8</v>
      </c>
      <c r="E41" s="289" t="s">
        <v>11</v>
      </c>
      <c r="F41" s="590"/>
      <c r="G41" s="593"/>
      <c r="H41" s="593"/>
      <c r="I41" s="289" t="s">
        <v>8</v>
      </c>
      <c r="J41" s="289" t="s">
        <v>10</v>
      </c>
      <c r="K41" s="289" t="s">
        <v>14</v>
      </c>
      <c r="L41" s="289" t="s">
        <v>12</v>
      </c>
      <c r="M41" s="289" t="s">
        <v>15</v>
      </c>
      <c r="N41" s="293" t="s">
        <v>8</v>
      </c>
      <c r="O41" s="293" t="s">
        <v>10</v>
      </c>
      <c r="P41" s="293" t="s">
        <v>8</v>
      </c>
      <c r="Q41" s="293" t="s">
        <v>10</v>
      </c>
    </row>
    <row r="42" spans="1:17" ht="15">
      <c r="A42" s="603"/>
      <c r="B42" s="289">
        <v>1</v>
      </c>
      <c r="C42" s="289" t="s">
        <v>0</v>
      </c>
      <c r="D42" s="289">
        <v>2</v>
      </c>
      <c r="E42" s="291">
        <f>D42/51</f>
        <v>0.0392156862745098</v>
      </c>
      <c r="F42" s="282">
        <f>(87+87)/D42</f>
        <v>87</v>
      </c>
      <c r="G42" s="289">
        <f>(44+44)/D42</f>
        <v>44</v>
      </c>
      <c r="H42" s="276">
        <f aca="true" t="shared" si="3" ref="H42:H47">G42/47</f>
        <v>0.9361702127659575</v>
      </c>
      <c r="I42" s="289">
        <v>0</v>
      </c>
      <c r="J42" s="276">
        <v>0</v>
      </c>
      <c r="K42" s="289">
        <v>0</v>
      </c>
      <c r="L42" s="291">
        <v>0</v>
      </c>
      <c r="M42" s="11">
        <v>0</v>
      </c>
      <c r="N42" s="293">
        <v>2</v>
      </c>
      <c r="O42" s="65">
        <f>N42/D42</f>
        <v>1</v>
      </c>
      <c r="P42" s="293">
        <v>2</v>
      </c>
      <c r="Q42" s="65">
        <v>0</v>
      </c>
    </row>
    <row r="43" spans="1:17" ht="15">
      <c r="A43" s="603"/>
      <c r="B43" s="289">
        <v>2</v>
      </c>
      <c r="C43" s="289" t="s">
        <v>1</v>
      </c>
      <c r="D43" s="289">
        <v>1</v>
      </c>
      <c r="E43" s="291">
        <f>D43/19</f>
        <v>0.05263157894736842</v>
      </c>
      <c r="F43" s="289">
        <v>67</v>
      </c>
      <c r="G43" s="289">
        <v>38</v>
      </c>
      <c r="H43" s="276">
        <f t="shared" si="3"/>
        <v>0.8085106382978723</v>
      </c>
      <c r="I43" s="289">
        <v>0</v>
      </c>
      <c r="J43" s="276">
        <v>0</v>
      </c>
      <c r="K43" s="289">
        <v>0</v>
      </c>
      <c r="L43" s="276">
        <v>0</v>
      </c>
      <c r="M43" s="289">
        <v>0</v>
      </c>
      <c r="N43" s="293">
        <v>1</v>
      </c>
      <c r="O43" s="306">
        <f>N43/D43</f>
        <v>1</v>
      </c>
      <c r="P43" s="293">
        <v>0</v>
      </c>
      <c r="Q43" s="306">
        <f>P43/D43</f>
        <v>0</v>
      </c>
    </row>
    <row r="44" spans="1:17" ht="15">
      <c r="A44" s="603"/>
      <c r="B44" s="289">
        <v>3</v>
      </c>
      <c r="C44" s="289" t="s">
        <v>2</v>
      </c>
      <c r="D44" s="289">
        <v>0</v>
      </c>
      <c r="E44" s="291">
        <f>D44/25</f>
        <v>0</v>
      </c>
      <c r="F44" s="289">
        <v>0</v>
      </c>
      <c r="G44" s="289">
        <v>0</v>
      </c>
      <c r="H44" s="276">
        <f t="shared" si="3"/>
        <v>0</v>
      </c>
      <c r="I44" s="289"/>
      <c r="J44" s="276"/>
      <c r="K44" s="289"/>
      <c r="L44" s="291"/>
      <c r="M44" s="11"/>
      <c r="N44" s="293"/>
      <c r="O44" s="295"/>
      <c r="P44" s="293"/>
      <c r="Q44" s="295"/>
    </row>
    <row r="45" spans="1:17" ht="15">
      <c r="A45" s="603"/>
      <c r="B45" s="289">
        <v>4</v>
      </c>
      <c r="C45" s="289" t="s">
        <v>3</v>
      </c>
      <c r="D45" s="289">
        <v>0</v>
      </c>
      <c r="E45" s="291">
        <f>D45/25</f>
        <v>0</v>
      </c>
      <c r="F45" s="289" t="e">
        <f>(87+62)/D45</f>
        <v>#DIV/0!</v>
      </c>
      <c r="G45" s="289" t="e">
        <f>(44+33)/D45</f>
        <v>#DIV/0!</v>
      </c>
      <c r="H45" s="276" t="e">
        <f t="shared" si="3"/>
        <v>#DIV/0!</v>
      </c>
      <c r="I45" s="289">
        <v>0</v>
      </c>
      <c r="J45" s="276">
        <v>0</v>
      </c>
      <c r="K45" s="289">
        <v>0</v>
      </c>
      <c r="L45" s="276">
        <v>0</v>
      </c>
      <c r="M45" s="289">
        <v>0</v>
      </c>
      <c r="N45" s="293">
        <v>0</v>
      </c>
      <c r="O45" s="295" t="e">
        <f>N45/D45</f>
        <v>#DIV/0!</v>
      </c>
      <c r="P45" s="293">
        <v>0</v>
      </c>
      <c r="Q45" s="295" t="e">
        <f>P45/D45</f>
        <v>#DIV/0!</v>
      </c>
    </row>
    <row r="46" spans="1:17" ht="30">
      <c r="A46" s="603"/>
      <c r="B46" s="289">
        <v>5</v>
      </c>
      <c r="C46" s="289" t="s">
        <v>4</v>
      </c>
      <c r="D46" s="289"/>
      <c r="E46" s="291"/>
      <c r="F46" s="289"/>
      <c r="G46" s="289"/>
      <c r="H46" s="276">
        <f t="shared" si="3"/>
        <v>0</v>
      </c>
      <c r="I46" s="289"/>
      <c r="J46" s="276"/>
      <c r="K46" s="289"/>
      <c r="L46" s="289"/>
      <c r="M46" s="289"/>
      <c r="N46" s="293"/>
      <c r="O46" s="295"/>
      <c r="P46" s="293"/>
      <c r="Q46" s="295"/>
    </row>
    <row r="47" spans="1:17" ht="45">
      <c r="A47" s="603"/>
      <c r="B47" s="289">
        <v>6</v>
      </c>
      <c r="C47" s="289" t="s">
        <v>5</v>
      </c>
      <c r="D47" s="289"/>
      <c r="E47" s="291"/>
      <c r="F47" s="289"/>
      <c r="G47" s="289"/>
      <c r="H47" s="276">
        <f t="shared" si="3"/>
        <v>0</v>
      </c>
      <c r="I47" s="289"/>
      <c r="J47" s="276"/>
      <c r="K47" s="289"/>
      <c r="L47" s="289"/>
      <c r="M47" s="289"/>
      <c r="N47" s="293"/>
      <c r="O47" s="295"/>
      <c r="P47" s="293"/>
      <c r="Q47" s="295"/>
    </row>
    <row r="48" spans="1:17" ht="15">
      <c r="A48" s="603"/>
      <c r="B48" s="290"/>
      <c r="C48" s="290" t="s">
        <v>6</v>
      </c>
      <c r="D48" s="290">
        <f>SUM(D42:D47)</f>
        <v>3</v>
      </c>
      <c r="E48" s="292">
        <f>D48/123</f>
        <v>0.024390243902439025</v>
      </c>
      <c r="F48" s="280">
        <f>241/D48</f>
        <v>80.33333333333333</v>
      </c>
      <c r="G48" s="290">
        <f>126/D48</f>
        <v>42</v>
      </c>
      <c r="H48" s="276">
        <f>G48/(D48*47)</f>
        <v>0.2978723404255319</v>
      </c>
      <c r="I48" s="290">
        <v>0</v>
      </c>
      <c r="J48" s="13">
        <v>0</v>
      </c>
      <c r="K48" s="290">
        <v>0</v>
      </c>
      <c r="L48" s="290">
        <v>0</v>
      </c>
      <c r="M48" s="290">
        <v>0</v>
      </c>
      <c r="N48" s="296">
        <f>SUM(N42:N47)</f>
        <v>3</v>
      </c>
      <c r="O48" s="298">
        <f>N48/D48</f>
        <v>1</v>
      </c>
      <c r="P48" s="281">
        <f>SUM(P42:P47)</f>
        <v>2</v>
      </c>
      <c r="Q48" s="302">
        <f>P48/D48</f>
        <v>0.6666666666666666</v>
      </c>
    </row>
    <row r="49" spans="1:17" ht="15">
      <c r="A49" s="603"/>
      <c r="B49" s="290"/>
      <c r="C49" s="290" t="s">
        <v>6</v>
      </c>
      <c r="D49" s="290">
        <f>SUM(D42:D47)</f>
        <v>3</v>
      </c>
      <c r="E49" s="292">
        <f>D49/107</f>
        <v>0.028037383177570093</v>
      </c>
      <c r="F49" s="290">
        <f>69/D49</f>
        <v>23</v>
      </c>
      <c r="G49" s="290">
        <f>40/D49</f>
        <v>13.333333333333334</v>
      </c>
      <c r="H49" s="276">
        <f>G49/(D49*47)</f>
        <v>0.09456264775413711</v>
      </c>
      <c r="I49" s="290">
        <v>0</v>
      </c>
      <c r="J49" s="13">
        <v>0</v>
      </c>
      <c r="K49" s="290">
        <v>0</v>
      </c>
      <c r="L49" s="290">
        <v>0</v>
      </c>
      <c r="M49" s="290">
        <v>0</v>
      </c>
      <c r="N49" s="29">
        <v>1</v>
      </c>
      <c r="O49" s="31">
        <f>N49/D49</f>
        <v>0.3333333333333333</v>
      </c>
      <c r="P49" s="29">
        <f>SUM(P43:P47)</f>
        <v>0</v>
      </c>
      <c r="Q49" s="31">
        <f>P49/D49</f>
        <v>0</v>
      </c>
    </row>
    <row r="50" spans="1:17" ht="15">
      <c r="A50" s="593"/>
      <c r="B50" s="290"/>
      <c r="C50" s="290" t="s">
        <v>22</v>
      </c>
      <c r="D50" s="290"/>
      <c r="E50" s="290"/>
      <c r="F50" s="290">
        <v>65.58</v>
      </c>
      <c r="G50" s="290"/>
      <c r="H50" s="272"/>
      <c r="I50" s="290"/>
      <c r="J50" s="290"/>
      <c r="K50" s="290"/>
      <c r="L50" s="290"/>
      <c r="M50" s="290"/>
      <c r="N50" s="296"/>
      <c r="O50" s="296"/>
      <c r="P50" s="296"/>
      <c r="Q50" s="298"/>
    </row>
    <row r="51" spans="1:17" ht="15">
      <c r="A51" s="605" t="s">
        <v>138</v>
      </c>
      <c r="B51" s="16"/>
      <c r="C51" s="16"/>
      <c r="D51" s="590" t="s">
        <v>7</v>
      </c>
      <c r="E51" s="590"/>
      <c r="F51" s="590" t="s">
        <v>50</v>
      </c>
      <c r="G51" s="592" t="s">
        <v>20</v>
      </c>
      <c r="H51" s="592" t="s">
        <v>63</v>
      </c>
      <c r="I51" s="590" t="s">
        <v>9</v>
      </c>
      <c r="J51" s="590"/>
      <c r="K51" s="590" t="s">
        <v>13</v>
      </c>
      <c r="L51" s="590"/>
      <c r="M51" s="590"/>
      <c r="N51" s="587" t="s">
        <v>132</v>
      </c>
      <c r="O51" s="587"/>
      <c r="P51" s="587" t="s">
        <v>128</v>
      </c>
      <c r="Q51" s="587"/>
    </row>
    <row r="52" spans="1:17" ht="180">
      <c r="A52" s="603"/>
      <c r="B52" s="16"/>
      <c r="C52" s="16"/>
      <c r="D52" s="16" t="s">
        <v>8</v>
      </c>
      <c r="E52" s="16" t="s">
        <v>11</v>
      </c>
      <c r="F52" s="590"/>
      <c r="G52" s="593"/>
      <c r="H52" s="593"/>
      <c r="I52" s="16" t="s">
        <v>8</v>
      </c>
      <c r="J52" s="16" t="s">
        <v>10</v>
      </c>
      <c r="K52" s="16" t="s">
        <v>14</v>
      </c>
      <c r="L52" s="16" t="s">
        <v>12</v>
      </c>
      <c r="M52" s="16" t="s">
        <v>15</v>
      </c>
      <c r="N52" s="293" t="s">
        <v>8</v>
      </c>
      <c r="O52" s="293" t="s">
        <v>10</v>
      </c>
      <c r="P52" s="293" t="s">
        <v>8</v>
      </c>
      <c r="Q52" s="293" t="s">
        <v>10</v>
      </c>
    </row>
    <row r="53" spans="1:17" ht="15">
      <c r="A53" s="603"/>
      <c r="B53" s="16">
        <v>1</v>
      </c>
      <c r="C53" s="16" t="s">
        <v>0</v>
      </c>
      <c r="D53" s="16">
        <v>1</v>
      </c>
      <c r="E53" s="7">
        <f>D53/25</f>
        <v>0.04</v>
      </c>
      <c r="F53" s="132">
        <v>69</v>
      </c>
      <c r="G53" s="77">
        <v>40</v>
      </c>
      <c r="H53" s="159">
        <f>G53/47</f>
        <v>0.851063829787234</v>
      </c>
      <c r="I53" s="16">
        <v>0</v>
      </c>
      <c r="J53" s="12">
        <v>0</v>
      </c>
      <c r="K53" s="16">
        <v>0</v>
      </c>
      <c r="L53" s="7">
        <v>0</v>
      </c>
      <c r="M53" s="11">
        <v>0</v>
      </c>
      <c r="N53" s="293">
        <v>1</v>
      </c>
      <c r="O53" s="65">
        <f>N53/D53</f>
        <v>1</v>
      </c>
      <c r="P53" s="293">
        <v>0</v>
      </c>
      <c r="Q53" s="65">
        <v>0</v>
      </c>
    </row>
    <row r="54" spans="1:17" ht="15">
      <c r="A54" s="603"/>
      <c r="B54" s="16">
        <v>2</v>
      </c>
      <c r="C54" s="16" t="s">
        <v>1</v>
      </c>
      <c r="D54" s="16">
        <v>0</v>
      </c>
      <c r="E54" s="7">
        <f>D54/16</f>
        <v>0</v>
      </c>
      <c r="F54" s="16">
        <v>0</v>
      </c>
      <c r="G54" s="77">
        <v>0</v>
      </c>
      <c r="H54" s="133"/>
      <c r="I54" s="16"/>
      <c r="J54" s="12"/>
      <c r="K54" s="16"/>
      <c r="L54" s="12"/>
      <c r="M54" s="16"/>
      <c r="N54" s="293"/>
      <c r="O54" s="298" t="e">
        <f>N54/D54</f>
        <v>#DIV/0!</v>
      </c>
      <c r="P54" s="293"/>
      <c r="Q54" s="298" t="e">
        <f>P54/D54</f>
        <v>#DIV/0!</v>
      </c>
    </row>
    <row r="55" spans="1:17" ht="15">
      <c r="A55" s="603"/>
      <c r="B55" s="16">
        <v>3</v>
      </c>
      <c r="C55" s="16" t="s">
        <v>2</v>
      </c>
      <c r="D55" s="16">
        <v>0</v>
      </c>
      <c r="E55" s="7">
        <f>D55/25</f>
        <v>0</v>
      </c>
      <c r="F55" s="16">
        <v>0</v>
      </c>
      <c r="G55" s="77">
        <v>0</v>
      </c>
      <c r="H55" s="133"/>
      <c r="I55" s="16"/>
      <c r="J55" s="12"/>
      <c r="K55" s="16"/>
      <c r="L55" s="7"/>
      <c r="M55" s="11"/>
      <c r="N55" s="293"/>
      <c r="O55" s="295"/>
      <c r="P55" s="293"/>
      <c r="Q55" s="295"/>
    </row>
    <row r="56" spans="1:17" ht="15">
      <c r="A56" s="603"/>
      <c r="B56" s="16">
        <v>4</v>
      </c>
      <c r="C56" s="16" t="s">
        <v>3</v>
      </c>
      <c r="D56" s="16">
        <v>0</v>
      </c>
      <c r="E56" s="7">
        <f>D56/28</f>
        <v>0</v>
      </c>
      <c r="F56" s="16"/>
      <c r="G56" s="77"/>
      <c r="H56" s="133"/>
      <c r="I56" s="16"/>
      <c r="J56" s="12"/>
      <c r="K56" s="16"/>
      <c r="L56" s="12"/>
      <c r="M56" s="16"/>
      <c r="N56" s="293"/>
      <c r="O56" s="295" t="e">
        <f>N56/D56</f>
        <v>#DIV/0!</v>
      </c>
      <c r="P56" s="293"/>
      <c r="Q56" s="295" t="e">
        <f>P56/D56</f>
        <v>#DIV/0!</v>
      </c>
    </row>
    <row r="57" spans="1:17" ht="30">
      <c r="A57" s="603"/>
      <c r="B57" s="16">
        <v>5</v>
      </c>
      <c r="C57" s="16" t="s">
        <v>4</v>
      </c>
      <c r="D57" s="16"/>
      <c r="E57" s="7"/>
      <c r="F57" s="16"/>
      <c r="G57" s="77"/>
      <c r="H57" s="133"/>
      <c r="I57" s="16"/>
      <c r="J57" s="12"/>
      <c r="K57" s="16"/>
      <c r="L57" s="16"/>
      <c r="M57" s="16"/>
      <c r="N57" s="293"/>
      <c r="O57" s="295"/>
      <c r="P57" s="293"/>
      <c r="Q57" s="295"/>
    </row>
    <row r="58" spans="1:17" ht="45">
      <c r="A58" s="603"/>
      <c r="B58" s="16">
        <v>6</v>
      </c>
      <c r="C58" s="16" t="s">
        <v>5</v>
      </c>
      <c r="D58" s="16"/>
      <c r="E58" s="7"/>
      <c r="F58" s="16"/>
      <c r="G58" s="77"/>
      <c r="H58" s="133">
        <v>89.4</v>
      </c>
      <c r="I58" s="16"/>
      <c r="J58" s="12"/>
      <c r="K58" s="16"/>
      <c r="L58" s="16"/>
      <c r="M58" s="16"/>
      <c r="N58" s="293"/>
      <c r="O58" s="295"/>
      <c r="P58" s="293"/>
      <c r="Q58" s="295"/>
    </row>
    <row r="59" spans="1:17" ht="15">
      <c r="A59" s="603"/>
      <c r="B59" s="6"/>
      <c r="C59" s="6" t="s">
        <v>6</v>
      </c>
      <c r="D59" s="6">
        <f>SUM(D53:D58)</f>
        <v>1</v>
      </c>
      <c r="E59" s="10">
        <f>D59/107</f>
        <v>0.009345794392523364</v>
      </c>
      <c r="F59" s="6">
        <f>69/D59</f>
        <v>69</v>
      </c>
      <c r="G59" s="6">
        <f>40/D59</f>
        <v>40</v>
      </c>
      <c r="H59" s="159">
        <f>G59/(D59*47)</f>
        <v>0.851063829787234</v>
      </c>
      <c r="I59" s="6">
        <v>0</v>
      </c>
      <c r="J59" s="13">
        <v>0</v>
      </c>
      <c r="K59" s="6">
        <v>0</v>
      </c>
      <c r="L59" s="6">
        <v>0</v>
      </c>
      <c r="M59" s="6">
        <v>0</v>
      </c>
      <c r="N59" s="296">
        <v>1</v>
      </c>
      <c r="O59" s="298">
        <f>N59/D59</f>
        <v>1</v>
      </c>
      <c r="P59" s="296">
        <f>SUM(P54:P58)</f>
        <v>0</v>
      </c>
      <c r="Q59" s="298">
        <f>P59/D59</f>
        <v>0</v>
      </c>
    </row>
    <row r="60" spans="1:17" ht="15">
      <c r="A60" s="593"/>
      <c r="B60" s="6"/>
      <c r="C60" s="6" t="s">
        <v>22</v>
      </c>
      <c r="D60" s="6"/>
      <c r="E60" s="6"/>
      <c r="F60" s="6">
        <v>63.2</v>
      </c>
      <c r="G60" s="6"/>
      <c r="H60" s="22"/>
      <c r="I60" s="6"/>
      <c r="J60" s="6"/>
      <c r="K60" s="6"/>
      <c r="L60" s="6"/>
      <c r="M60" s="6"/>
      <c r="N60" s="296"/>
      <c r="O60" s="296">
        <v>48.08</v>
      </c>
      <c r="P60" s="296"/>
      <c r="Q60" s="298">
        <v>0.1058</v>
      </c>
    </row>
  </sheetData>
  <sheetProtection/>
  <mergeCells count="52">
    <mergeCell ref="I51:J51"/>
    <mergeCell ref="T2:U2"/>
    <mergeCell ref="B14:Q14"/>
    <mergeCell ref="B25:Q26"/>
    <mergeCell ref="F51:F52"/>
    <mergeCell ref="A15:A24"/>
    <mergeCell ref="D15:E15"/>
    <mergeCell ref="F15:F16"/>
    <mergeCell ref="G15:G16"/>
    <mergeCell ref="G27:G28"/>
    <mergeCell ref="H40:H41"/>
    <mergeCell ref="A27:A37"/>
    <mergeCell ref="D27:E27"/>
    <mergeCell ref="A51:A60"/>
    <mergeCell ref="D51:E51"/>
    <mergeCell ref="A40:A50"/>
    <mergeCell ref="H27:H28"/>
    <mergeCell ref="N40:O40"/>
    <mergeCell ref="P40:Q40"/>
    <mergeCell ref="D40:E40"/>
    <mergeCell ref="F40:F41"/>
    <mergeCell ref="N27:O27"/>
    <mergeCell ref="B39:N39"/>
    <mergeCell ref="P27:Q27"/>
    <mergeCell ref="F27:F28"/>
    <mergeCell ref="I27:J27"/>
    <mergeCell ref="G40:G41"/>
    <mergeCell ref="K51:M51"/>
    <mergeCell ref="N51:O51"/>
    <mergeCell ref="G51:G52"/>
    <mergeCell ref="P51:Q51"/>
    <mergeCell ref="N2:O2"/>
    <mergeCell ref="K27:M27"/>
    <mergeCell ref="H51:H52"/>
    <mergeCell ref="I15:J15"/>
    <mergeCell ref="K40:M40"/>
    <mergeCell ref="I40:J40"/>
    <mergeCell ref="B1:Q1"/>
    <mergeCell ref="A2:A11"/>
    <mergeCell ref="D2:E2"/>
    <mergeCell ref="F2:F3"/>
    <mergeCell ref="G2:G3"/>
    <mergeCell ref="H2:H3"/>
    <mergeCell ref="K2:M2"/>
    <mergeCell ref="I2:J2"/>
    <mergeCell ref="P2:Q2"/>
    <mergeCell ref="P15:Q15"/>
    <mergeCell ref="R2:S2"/>
    <mergeCell ref="K15:M15"/>
    <mergeCell ref="N15:O15"/>
    <mergeCell ref="H15:H16"/>
    <mergeCell ref="R15:S15"/>
  </mergeCells>
  <printOptions/>
  <pageMargins left="0.7" right="0.7" top="0.75" bottom="0.75" header="0.3" footer="0.3"/>
  <pageSetup horizontalDpi="600" verticalDpi="600" orientation="landscape" paperSize="9" scale="68" r:id="rId1"/>
  <rowBreaks count="1" manualBreakCount="1">
    <brk id="37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8"/>
  <sheetViews>
    <sheetView view="pageBreakPreview" zoomScaleSheetLayoutView="100" zoomScalePageLayoutView="0" workbookViewId="0" topLeftCell="A4">
      <selection activeCell="S12" sqref="A1:S12"/>
    </sheetView>
  </sheetViews>
  <sheetFormatPr defaultColWidth="9.140625" defaultRowHeight="15"/>
  <cols>
    <col min="1" max="1" width="9.140625" style="242" customWidth="1"/>
    <col min="2" max="2" width="6.421875" style="18" customWidth="1"/>
    <col min="3" max="3" width="15.28125" style="18" customWidth="1"/>
    <col min="4" max="5" width="9.140625" style="18" customWidth="1"/>
    <col min="6" max="6" width="9.00390625" style="18" customWidth="1"/>
    <col min="7" max="7" width="9.7109375" style="76" customWidth="1"/>
    <col min="8" max="8" width="11.57421875" style="76" bestFit="1" customWidth="1"/>
    <col min="9" max="9" width="8.00390625" style="18" customWidth="1"/>
    <col min="10" max="10" width="6.8515625" style="18" customWidth="1"/>
    <col min="11" max="11" width="9.140625" style="18" customWidth="1"/>
    <col min="12" max="12" width="8.00390625" style="18" customWidth="1"/>
    <col min="13" max="13" width="9.57421875" style="18" customWidth="1"/>
    <col min="14" max="14" width="10.140625" style="81" customWidth="1"/>
    <col min="15" max="15" width="9.140625" style="81" customWidth="1"/>
    <col min="16" max="17" width="9.140625" style="18" customWidth="1"/>
    <col min="18" max="16384" width="9.140625" style="18" customWidth="1"/>
  </cols>
  <sheetData>
    <row r="1" spans="1:15" s="505" customFormat="1" ht="15">
      <c r="A1" s="511"/>
      <c r="B1" s="588" t="s">
        <v>263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81"/>
      <c r="O1" s="81"/>
    </row>
    <row r="2" spans="1:19" s="505" customFormat="1" ht="94.5" customHeight="1">
      <c r="A2" s="590" t="s">
        <v>228</v>
      </c>
      <c r="B2" s="512"/>
      <c r="C2" s="512"/>
      <c r="D2" s="590" t="s">
        <v>7</v>
      </c>
      <c r="E2" s="590"/>
      <c r="F2" s="590" t="s">
        <v>39</v>
      </c>
      <c r="G2" s="592" t="s">
        <v>57</v>
      </c>
      <c r="H2" s="592" t="s">
        <v>252</v>
      </c>
      <c r="I2" s="590" t="s">
        <v>9</v>
      </c>
      <c r="J2" s="590"/>
      <c r="K2" s="590" t="s">
        <v>13</v>
      </c>
      <c r="L2" s="590"/>
      <c r="M2" s="590"/>
      <c r="N2" s="599" t="s">
        <v>127</v>
      </c>
      <c r="O2" s="599"/>
      <c r="P2" s="590" t="s">
        <v>259</v>
      </c>
      <c r="Q2" s="590"/>
      <c r="R2" s="587" t="s">
        <v>278</v>
      </c>
      <c r="S2" s="587"/>
    </row>
    <row r="3" spans="1:19" s="505" customFormat="1" ht="195">
      <c r="A3" s="590"/>
      <c r="B3" s="512"/>
      <c r="C3" s="512"/>
      <c r="D3" s="512" t="s">
        <v>8</v>
      </c>
      <c r="E3" s="512" t="s">
        <v>11</v>
      </c>
      <c r="F3" s="590"/>
      <c r="G3" s="593"/>
      <c r="H3" s="593"/>
      <c r="I3" s="512" t="s">
        <v>8</v>
      </c>
      <c r="J3" s="512" t="s">
        <v>10</v>
      </c>
      <c r="K3" s="512" t="s">
        <v>14</v>
      </c>
      <c r="L3" s="512" t="s">
        <v>12</v>
      </c>
      <c r="M3" s="512" t="s">
        <v>15</v>
      </c>
      <c r="N3" s="517" t="s">
        <v>8</v>
      </c>
      <c r="O3" s="517" t="s">
        <v>10</v>
      </c>
      <c r="P3" s="512" t="s">
        <v>8</v>
      </c>
      <c r="Q3" s="512" t="s">
        <v>10</v>
      </c>
      <c r="R3" s="553" t="s">
        <v>8</v>
      </c>
      <c r="S3" s="553" t="s">
        <v>10</v>
      </c>
    </row>
    <row r="4" spans="1:19" s="505" customFormat="1" ht="15">
      <c r="A4" s="590"/>
      <c r="B4" s="512">
        <v>1</v>
      </c>
      <c r="C4" s="512" t="s">
        <v>0</v>
      </c>
      <c r="D4" s="509">
        <v>7</v>
      </c>
      <c r="E4" s="295">
        <v>0.3333</v>
      </c>
      <c r="F4" s="502">
        <v>72.14</v>
      </c>
      <c r="G4" s="509">
        <v>42.86</v>
      </c>
      <c r="H4" s="295">
        <v>0.739</v>
      </c>
      <c r="I4" s="509">
        <v>0</v>
      </c>
      <c r="J4" s="499">
        <v>0</v>
      </c>
      <c r="K4" s="509">
        <v>7</v>
      </c>
      <c r="L4" s="316">
        <v>1</v>
      </c>
      <c r="M4" s="509">
        <v>72.14</v>
      </c>
      <c r="N4" s="509">
        <v>1</v>
      </c>
      <c r="O4" s="306">
        <v>0.1429</v>
      </c>
      <c r="P4" s="512">
        <v>0</v>
      </c>
      <c r="Q4" s="512">
        <v>0</v>
      </c>
      <c r="R4" s="70">
        <v>6</v>
      </c>
      <c r="S4" s="295">
        <v>0.8571</v>
      </c>
    </row>
    <row r="5" spans="1:19" s="505" customFormat="1" ht="15">
      <c r="A5" s="590"/>
      <c r="B5" s="512">
        <v>2</v>
      </c>
      <c r="C5" s="512" t="s">
        <v>1</v>
      </c>
      <c r="D5" s="509">
        <v>2</v>
      </c>
      <c r="E5" s="48">
        <v>0.15</v>
      </c>
      <c r="F5" s="68">
        <v>80</v>
      </c>
      <c r="G5" s="68">
        <v>48</v>
      </c>
      <c r="H5" s="295">
        <v>0.82</v>
      </c>
      <c r="I5" s="509">
        <v>0</v>
      </c>
      <c r="J5" s="499">
        <v>0</v>
      </c>
      <c r="K5" s="509">
        <v>2</v>
      </c>
      <c r="L5" s="314">
        <v>0.28</v>
      </c>
      <c r="M5" s="68">
        <v>80</v>
      </c>
      <c r="N5" s="509">
        <v>1</v>
      </c>
      <c r="O5" s="295">
        <v>0.5</v>
      </c>
      <c r="P5" s="512">
        <v>0</v>
      </c>
      <c r="Q5" s="512">
        <v>0</v>
      </c>
      <c r="R5" s="70">
        <v>2</v>
      </c>
      <c r="S5" s="295">
        <v>1</v>
      </c>
    </row>
    <row r="6" spans="1:19" s="505" customFormat="1" ht="15">
      <c r="A6" s="590"/>
      <c r="B6" s="512">
        <v>3</v>
      </c>
      <c r="C6" s="512" t="s">
        <v>2</v>
      </c>
      <c r="D6" s="509">
        <v>1</v>
      </c>
      <c r="E6" s="48">
        <v>0.05</v>
      </c>
      <c r="F6" s="68">
        <v>68</v>
      </c>
      <c r="G6" s="68">
        <v>40</v>
      </c>
      <c r="H6" s="295">
        <v>0.68</v>
      </c>
      <c r="I6" s="509">
        <v>0</v>
      </c>
      <c r="J6" s="499">
        <v>0</v>
      </c>
      <c r="K6" s="509">
        <v>1</v>
      </c>
      <c r="L6" s="499">
        <v>1</v>
      </c>
      <c r="M6" s="94">
        <v>68</v>
      </c>
      <c r="N6" s="509">
        <v>0</v>
      </c>
      <c r="O6" s="295">
        <v>0</v>
      </c>
      <c r="P6" s="512">
        <v>0</v>
      </c>
      <c r="Q6" s="512">
        <v>0</v>
      </c>
      <c r="R6" s="70">
        <v>1</v>
      </c>
      <c r="S6" s="295">
        <v>1</v>
      </c>
    </row>
    <row r="7" spans="1:19" s="505" customFormat="1" ht="47.25" customHeight="1">
      <c r="A7" s="590"/>
      <c r="B7" s="512">
        <v>4</v>
      </c>
      <c r="C7" s="512" t="s">
        <v>3</v>
      </c>
      <c r="D7" s="509">
        <v>6</v>
      </c>
      <c r="E7" s="48">
        <v>0.35</v>
      </c>
      <c r="F7" s="105">
        <v>55</v>
      </c>
      <c r="G7" s="509">
        <v>30</v>
      </c>
      <c r="H7" s="295">
        <v>0.51</v>
      </c>
      <c r="I7" s="509">
        <v>0</v>
      </c>
      <c r="J7" s="499">
        <v>0</v>
      </c>
      <c r="K7" s="509">
        <v>6</v>
      </c>
      <c r="L7" s="499">
        <v>0.677</v>
      </c>
      <c r="M7" s="509">
        <v>55</v>
      </c>
      <c r="N7" s="509">
        <v>0</v>
      </c>
      <c r="O7" s="295">
        <v>0</v>
      </c>
      <c r="P7" s="530">
        <v>1</v>
      </c>
      <c r="Q7" s="531">
        <v>0.16</v>
      </c>
      <c r="R7" s="70">
        <v>2</v>
      </c>
      <c r="S7" s="295">
        <v>0.33</v>
      </c>
    </row>
    <row r="8" spans="1:19" s="505" customFormat="1" ht="30">
      <c r="A8" s="590"/>
      <c r="B8" s="512">
        <v>5</v>
      </c>
      <c r="C8" s="512" t="s">
        <v>4</v>
      </c>
      <c r="D8" s="509"/>
      <c r="E8" s="48"/>
      <c r="F8" s="509"/>
      <c r="G8" s="509"/>
      <c r="H8" s="509"/>
      <c r="I8" s="509"/>
      <c r="J8" s="499"/>
      <c r="K8" s="509"/>
      <c r="L8" s="509"/>
      <c r="M8" s="509"/>
      <c r="N8" s="509"/>
      <c r="O8" s="295"/>
      <c r="P8" s="512"/>
      <c r="Q8" s="512"/>
      <c r="R8" s="70"/>
      <c r="S8" s="295"/>
    </row>
    <row r="9" spans="1:19" s="505" customFormat="1" ht="30">
      <c r="A9" s="590"/>
      <c r="B9" s="512">
        <v>6</v>
      </c>
      <c r="C9" s="512" t="s">
        <v>5</v>
      </c>
      <c r="D9" s="509"/>
      <c r="E9" s="48"/>
      <c r="F9" s="509"/>
      <c r="G9" s="509"/>
      <c r="H9" s="295"/>
      <c r="I9" s="509"/>
      <c r="J9" s="499"/>
      <c r="K9" s="509"/>
      <c r="L9" s="509"/>
      <c r="M9" s="509"/>
      <c r="N9" s="509"/>
      <c r="O9" s="295"/>
      <c r="P9" s="512"/>
      <c r="Q9" s="512"/>
      <c r="R9" s="70"/>
      <c r="S9" s="295"/>
    </row>
    <row r="10" spans="1:19" s="505" customFormat="1" ht="15">
      <c r="A10" s="590"/>
      <c r="B10" s="521"/>
      <c r="C10" s="521" t="s">
        <v>6</v>
      </c>
      <c r="D10" s="296">
        <f>SUM(D4:D9)</f>
        <v>16</v>
      </c>
      <c r="E10" s="171">
        <v>0.22</v>
      </c>
      <c r="F10" s="283">
        <v>66.31</v>
      </c>
      <c r="G10" s="346">
        <v>38.56</v>
      </c>
      <c r="H10" s="298">
        <v>0.66</v>
      </c>
      <c r="I10" s="296">
        <f>SUM(I4:I9)</f>
        <v>0</v>
      </c>
      <c r="J10" s="83">
        <f>I10/D10</f>
        <v>0</v>
      </c>
      <c r="K10" s="296">
        <f>SUM(K4:K9)</f>
        <v>16</v>
      </c>
      <c r="L10" s="298">
        <v>0.69</v>
      </c>
      <c r="M10" s="296">
        <v>66.31</v>
      </c>
      <c r="N10" s="296">
        <f>SUM(N4:N9)</f>
        <v>2</v>
      </c>
      <c r="O10" s="298">
        <v>0.12</v>
      </c>
      <c r="P10" s="521">
        <v>1</v>
      </c>
      <c r="Q10" s="292">
        <v>0.06</v>
      </c>
      <c r="R10" s="269">
        <v>12</v>
      </c>
      <c r="S10" s="302">
        <v>0.75</v>
      </c>
    </row>
    <row r="11" spans="1:19" s="505" customFormat="1" ht="15">
      <c r="A11" s="591"/>
      <c r="B11" s="561"/>
      <c r="C11" s="561" t="s">
        <v>22</v>
      </c>
      <c r="D11" s="296"/>
      <c r="E11" s="296"/>
      <c r="F11" s="296">
        <v>55.08</v>
      </c>
      <c r="G11" s="296"/>
      <c r="H11" s="296"/>
      <c r="I11" s="296"/>
      <c r="J11" s="296">
        <v>7.4</v>
      </c>
      <c r="K11" s="296"/>
      <c r="L11" s="296"/>
      <c r="M11" s="296"/>
      <c r="N11" s="296"/>
      <c r="O11" s="298">
        <v>0.0377</v>
      </c>
      <c r="P11" s="555"/>
      <c r="Q11" s="555"/>
      <c r="R11" s="296"/>
      <c r="S11" s="295"/>
    </row>
    <row r="12" spans="1:19" s="554" customFormat="1" ht="15">
      <c r="A12" s="558"/>
      <c r="B12" s="561"/>
      <c r="C12" s="561" t="s">
        <v>277</v>
      </c>
      <c r="D12" s="296"/>
      <c r="E12" s="296"/>
      <c r="F12" s="296">
        <v>51.12</v>
      </c>
      <c r="G12" s="296"/>
      <c r="H12" s="296"/>
      <c r="I12" s="296"/>
      <c r="J12" s="296">
        <v>18.59</v>
      </c>
      <c r="K12" s="296"/>
      <c r="L12" s="296"/>
      <c r="M12" s="296"/>
      <c r="N12" s="296"/>
      <c r="O12" s="298">
        <v>0.05</v>
      </c>
      <c r="P12" s="555"/>
      <c r="Q12" s="555"/>
      <c r="R12" s="296"/>
      <c r="S12" s="295"/>
    </row>
    <row r="13" spans="1:19" s="554" customFormat="1" ht="15">
      <c r="A13" s="558"/>
      <c r="B13" s="560"/>
      <c r="C13" s="560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58"/>
      <c r="Q13" s="558"/>
      <c r="R13" s="146"/>
      <c r="S13" s="148"/>
    </row>
    <row r="14" spans="2:15" s="505" customFormat="1" ht="15">
      <c r="B14" s="588" t="s">
        <v>251</v>
      </c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81"/>
      <c r="O14" s="81"/>
    </row>
    <row r="15" spans="1:17" s="407" customFormat="1" ht="15">
      <c r="A15" s="590" t="s">
        <v>228</v>
      </c>
      <c r="B15" s="506"/>
      <c r="C15" s="506"/>
      <c r="D15" s="590" t="s">
        <v>7</v>
      </c>
      <c r="E15" s="590"/>
      <c r="F15" s="590" t="s">
        <v>39</v>
      </c>
      <c r="G15" s="592" t="s">
        <v>57</v>
      </c>
      <c r="H15" s="592" t="s">
        <v>252</v>
      </c>
      <c r="I15" s="590" t="s">
        <v>9</v>
      </c>
      <c r="J15" s="590"/>
      <c r="K15" s="590" t="s">
        <v>13</v>
      </c>
      <c r="L15" s="590"/>
      <c r="M15" s="590"/>
      <c r="N15" s="599" t="s">
        <v>127</v>
      </c>
      <c r="O15" s="599"/>
      <c r="P15" s="587" t="s">
        <v>230</v>
      </c>
      <c r="Q15" s="587"/>
    </row>
    <row r="16" spans="1:17" ht="97.5" customHeight="1">
      <c r="A16" s="590"/>
      <c r="B16" s="506"/>
      <c r="C16" s="506"/>
      <c r="D16" s="506" t="s">
        <v>8</v>
      </c>
      <c r="E16" s="506" t="s">
        <v>11</v>
      </c>
      <c r="F16" s="590"/>
      <c r="G16" s="593"/>
      <c r="H16" s="593"/>
      <c r="I16" s="506" t="s">
        <v>8</v>
      </c>
      <c r="J16" s="506" t="s">
        <v>10</v>
      </c>
      <c r="K16" s="506" t="s">
        <v>14</v>
      </c>
      <c r="L16" s="506" t="s">
        <v>12</v>
      </c>
      <c r="M16" s="506" t="s">
        <v>15</v>
      </c>
      <c r="N16" s="507" t="s">
        <v>8</v>
      </c>
      <c r="O16" s="507" t="s">
        <v>10</v>
      </c>
      <c r="P16" s="504" t="s">
        <v>8</v>
      </c>
      <c r="Q16" s="504" t="s">
        <v>10</v>
      </c>
    </row>
    <row r="17" spans="1:256" s="243" customFormat="1" ht="89.25" customHeight="1">
      <c r="A17" s="590"/>
      <c r="B17" s="506">
        <v>1</v>
      </c>
      <c r="C17" s="506" t="s">
        <v>0</v>
      </c>
      <c r="D17" s="504">
        <v>0</v>
      </c>
      <c r="E17" s="48">
        <f>D17/22</f>
        <v>0</v>
      </c>
      <c r="F17" s="504" t="e">
        <f>66/D17</f>
        <v>#DIV/0!</v>
      </c>
      <c r="G17" s="504" t="e">
        <f>39/D17</f>
        <v>#DIV/0!</v>
      </c>
      <c r="H17" s="295" t="e">
        <f>G17/59</f>
        <v>#DIV/0!</v>
      </c>
      <c r="I17" s="504">
        <v>0</v>
      </c>
      <c r="J17" s="499" t="e">
        <f>I17/D17</f>
        <v>#DIV/0!</v>
      </c>
      <c r="K17" s="504"/>
      <c r="L17" s="48">
        <v>0</v>
      </c>
      <c r="M17" s="504">
        <v>0</v>
      </c>
      <c r="N17" s="504">
        <v>0</v>
      </c>
      <c r="O17" s="63" t="e">
        <f aca="true" t="shared" si="0" ref="O17:O23">N17/D17</f>
        <v>#DIV/0!</v>
      </c>
      <c r="P17" s="70"/>
      <c r="Q17" s="295" t="e">
        <f aca="true" t="shared" si="1" ref="Q17:Q23">P17/D17</f>
        <v>#DIV/0!</v>
      </c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611"/>
      <c r="AD17" s="611"/>
      <c r="AE17" s="596"/>
      <c r="AF17" s="596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611"/>
      <c r="AT17" s="611"/>
      <c r="AU17" s="596"/>
      <c r="AV17" s="596"/>
      <c r="AY17" s="595"/>
      <c r="AZ17" s="595"/>
      <c r="BA17" s="595"/>
      <c r="BB17" s="595"/>
      <c r="BC17" s="595"/>
      <c r="BD17" s="595"/>
      <c r="BE17" s="595"/>
      <c r="BF17" s="595"/>
      <c r="BG17" s="595"/>
      <c r="BH17" s="595"/>
      <c r="BI17" s="611"/>
      <c r="BJ17" s="611"/>
      <c r="BK17" s="596"/>
      <c r="BL17" s="596"/>
      <c r="BO17" s="595"/>
      <c r="BP17" s="595"/>
      <c r="BQ17" s="595"/>
      <c r="BR17" s="595"/>
      <c r="BS17" s="595"/>
      <c r="BT17" s="595"/>
      <c r="BU17" s="595"/>
      <c r="BV17" s="595"/>
      <c r="BW17" s="595"/>
      <c r="BX17" s="595"/>
      <c r="BY17" s="611"/>
      <c r="BZ17" s="611"/>
      <c r="CA17" s="596"/>
      <c r="CB17" s="596"/>
      <c r="CE17" s="595"/>
      <c r="CF17" s="595"/>
      <c r="CG17" s="595"/>
      <c r="CH17" s="595"/>
      <c r="CI17" s="595"/>
      <c r="CJ17" s="595"/>
      <c r="CK17" s="595"/>
      <c r="CL17" s="595"/>
      <c r="CM17" s="595"/>
      <c r="CN17" s="595"/>
      <c r="CO17" s="611"/>
      <c r="CP17" s="611"/>
      <c r="CQ17" s="596"/>
      <c r="CR17" s="596"/>
      <c r="CU17" s="595"/>
      <c r="CV17" s="595"/>
      <c r="CW17" s="595"/>
      <c r="CX17" s="595"/>
      <c r="CY17" s="595"/>
      <c r="CZ17" s="595"/>
      <c r="DA17" s="595"/>
      <c r="DB17" s="595"/>
      <c r="DC17" s="595"/>
      <c r="DD17" s="595"/>
      <c r="DE17" s="611"/>
      <c r="DF17" s="611"/>
      <c r="DG17" s="596"/>
      <c r="DH17" s="596"/>
      <c r="DK17" s="595"/>
      <c r="DL17" s="595"/>
      <c r="DM17" s="595"/>
      <c r="DN17" s="595"/>
      <c r="DO17" s="595"/>
      <c r="DP17" s="595"/>
      <c r="DQ17" s="595"/>
      <c r="DR17" s="595"/>
      <c r="DS17" s="595"/>
      <c r="DT17" s="595"/>
      <c r="DU17" s="611"/>
      <c r="DV17" s="611"/>
      <c r="DW17" s="596"/>
      <c r="DX17" s="596"/>
      <c r="EA17" s="595"/>
      <c r="EB17" s="595"/>
      <c r="EC17" s="595"/>
      <c r="ED17" s="595"/>
      <c r="EE17" s="595"/>
      <c r="EF17" s="595"/>
      <c r="EG17" s="595"/>
      <c r="EH17" s="595"/>
      <c r="EI17" s="595"/>
      <c r="EJ17" s="595"/>
      <c r="EK17" s="611"/>
      <c r="EL17" s="611"/>
      <c r="EM17" s="596"/>
      <c r="EN17" s="596"/>
      <c r="EQ17" s="595"/>
      <c r="ER17" s="595"/>
      <c r="ES17" s="595"/>
      <c r="ET17" s="595"/>
      <c r="EU17" s="595"/>
      <c r="EV17" s="595"/>
      <c r="EW17" s="595"/>
      <c r="EX17" s="595"/>
      <c r="EY17" s="595"/>
      <c r="EZ17" s="595"/>
      <c r="FA17" s="611"/>
      <c r="FB17" s="611"/>
      <c r="FC17" s="596"/>
      <c r="FD17" s="596"/>
      <c r="FG17" s="595"/>
      <c r="FH17" s="595"/>
      <c r="FI17" s="595"/>
      <c r="FJ17" s="595"/>
      <c r="FK17" s="595"/>
      <c r="FL17" s="595"/>
      <c r="FM17" s="595"/>
      <c r="FN17" s="595"/>
      <c r="FO17" s="595"/>
      <c r="FP17" s="595"/>
      <c r="FQ17" s="611"/>
      <c r="FR17" s="611"/>
      <c r="FS17" s="596"/>
      <c r="FT17" s="596"/>
      <c r="FW17" s="595"/>
      <c r="FX17" s="595"/>
      <c r="FY17" s="595"/>
      <c r="FZ17" s="595"/>
      <c r="GA17" s="595"/>
      <c r="GB17" s="595"/>
      <c r="GC17" s="595"/>
      <c r="GD17" s="595"/>
      <c r="GE17" s="595"/>
      <c r="GF17" s="595"/>
      <c r="GG17" s="611"/>
      <c r="GH17" s="611"/>
      <c r="GI17" s="596"/>
      <c r="GJ17" s="596"/>
      <c r="GM17" s="595"/>
      <c r="GN17" s="595"/>
      <c r="GO17" s="595"/>
      <c r="GP17" s="595"/>
      <c r="GQ17" s="595"/>
      <c r="GR17" s="595"/>
      <c r="GS17" s="595"/>
      <c r="GT17" s="595"/>
      <c r="GU17" s="595"/>
      <c r="GV17" s="595"/>
      <c r="GW17" s="611"/>
      <c r="GX17" s="611"/>
      <c r="GY17" s="596"/>
      <c r="GZ17" s="596"/>
      <c r="HC17" s="595"/>
      <c r="HD17" s="595"/>
      <c r="HE17" s="595"/>
      <c r="HF17" s="595"/>
      <c r="HG17" s="595"/>
      <c r="HH17" s="595"/>
      <c r="HI17" s="595"/>
      <c r="HJ17" s="595"/>
      <c r="HK17" s="595"/>
      <c r="HL17" s="595"/>
      <c r="HM17" s="611"/>
      <c r="HN17" s="611"/>
      <c r="HO17" s="596"/>
      <c r="HP17" s="596"/>
      <c r="HS17" s="595"/>
      <c r="HT17" s="595"/>
      <c r="HU17" s="595"/>
      <c r="HV17" s="595"/>
      <c r="HW17" s="595"/>
      <c r="HX17" s="595"/>
      <c r="HY17" s="595"/>
      <c r="HZ17" s="595"/>
      <c r="IA17" s="595"/>
      <c r="IB17" s="595"/>
      <c r="IC17" s="611"/>
      <c r="ID17" s="611"/>
      <c r="IE17" s="596"/>
      <c r="IF17" s="596"/>
      <c r="II17" s="595"/>
      <c r="IJ17" s="595"/>
      <c r="IK17" s="595"/>
      <c r="IL17" s="595"/>
      <c r="IM17" s="595"/>
      <c r="IN17" s="595"/>
      <c r="IO17" s="595"/>
      <c r="IP17" s="595"/>
      <c r="IQ17" s="595"/>
      <c r="IR17" s="595"/>
      <c r="IS17" s="611"/>
      <c r="IT17" s="611"/>
      <c r="IU17" s="596"/>
      <c r="IV17" s="596"/>
    </row>
    <row r="18" spans="1:256" s="243" customFormat="1" ht="15">
      <c r="A18" s="590"/>
      <c r="B18" s="506">
        <v>2</v>
      </c>
      <c r="C18" s="506" t="s">
        <v>1</v>
      </c>
      <c r="D18" s="504">
        <v>8</v>
      </c>
      <c r="E18" s="48">
        <f>D18/22</f>
        <v>0.36363636363636365</v>
      </c>
      <c r="F18" s="68">
        <v>65</v>
      </c>
      <c r="G18" s="68">
        <v>36</v>
      </c>
      <c r="H18" s="295">
        <f>G18/58</f>
        <v>0.6206896551724138</v>
      </c>
      <c r="I18" s="504">
        <v>0</v>
      </c>
      <c r="J18" s="499">
        <f>I18/D18</f>
        <v>0</v>
      </c>
      <c r="K18" s="504">
        <v>7</v>
      </c>
      <c r="L18" s="499">
        <f>K18/10</f>
        <v>0.7</v>
      </c>
      <c r="M18" s="68">
        <v>65</v>
      </c>
      <c r="N18" s="504">
        <v>0</v>
      </c>
      <c r="O18" s="295">
        <f t="shared" si="0"/>
        <v>0</v>
      </c>
      <c r="P18" s="70"/>
      <c r="Q18" s="295">
        <f t="shared" si="1"/>
        <v>0</v>
      </c>
      <c r="U18" s="595"/>
      <c r="V18" s="595"/>
      <c r="W18" s="595"/>
      <c r="AC18" s="260"/>
      <c r="AD18" s="260"/>
      <c r="AE18" s="244"/>
      <c r="AF18" s="244"/>
      <c r="AK18" s="595"/>
      <c r="AL18" s="595"/>
      <c r="AM18" s="595"/>
      <c r="AS18" s="260"/>
      <c r="AT18" s="260"/>
      <c r="AU18" s="244"/>
      <c r="AV18" s="244"/>
      <c r="BA18" s="595"/>
      <c r="BB18" s="595"/>
      <c r="BC18" s="595"/>
      <c r="BI18" s="260"/>
      <c r="BJ18" s="260"/>
      <c r="BK18" s="244"/>
      <c r="BL18" s="244"/>
      <c r="BQ18" s="595"/>
      <c r="BR18" s="595"/>
      <c r="BS18" s="595"/>
      <c r="BY18" s="260"/>
      <c r="BZ18" s="260"/>
      <c r="CA18" s="244"/>
      <c r="CB18" s="244"/>
      <c r="CG18" s="595"/>
      <c r="CH18" s="595"/>
      <c r="CI18" s="595"/>
      <c r="CO18" s="260"/>
      <c r="CP18" s="260"/>
      <c r="CQ18" s="244"/>
      <c r="CR18" s="244"/>
      <c r="CW18" s="595"/>
      <c r="CX18" s="595"/>
      <c r="CY18" s="595"/>
      <c r="DE18" s="260"/>
      <c r="DF18" s="260"/>
      <c r="DG18" s="244"/>
      <c r="DH18" s="244"/>
      <c r="DM18" s="595"/>
      <c r="DN18" s="595"/>
      <c r="DO18" s="595"/>
      <c r="DU18" s="260"/>
      <c r="DV18" s="260"/>
      <c r="DW18" s="244"/>
      <c r="DX18" s="244"/>
      <c r="EC18" s="595"/>
      <c r="ED18" s="595"/>
      <c r="EE18" s="595"/>
      <c r="EK18" s="260"/>
      <c r="EL18" s="260"/>
      <c r="EM18" s="244"/>
      <c r="EN18" s="244"/>
      <c r="ES18" s="595"/>
      <c r="ET18" s="595"/>
      <c r="EU18" s="595"/>
      <c r="FA18" s="260"/>
      <c r="FB18" s="260"/>
      <c r="FC18" s="244"/>
      <c r="FD18" s="244"/>
      <c r="FI18" s="595"/>
      <c r="FJ18" s="595"/>
      <c r="FK18" s="595"/>
      <c r="FQ18" s="260"/>
      <c r="FR18" s="260"/>
      <c r="FS18" s="244"/>
      <c r="FT18" s="244"/>
      <c r="FY18" s="595"/>
      <c r="FZ18" s="595"/>
      <c r="GA18" s="595"/>
      <c r="GG18" s="260"/>
      <c r="GH18" s="260"/>
      <c r="GI18" s="244"/>
      <c r="GJ18" s="244"/>
      <c r="GO18" s="595"/>
      <c r="GP18" s="595"/>
      <c r="GQ18" s="595"/>
      <c r="GW18" s="260"/>
      <c r="GX18" s="260"/>
      <c r="GY18" s="244"/>
      <c r="GZ18" s="244"/>
      <c r="HE18" s="595"/>
      <c r="HF18" s="595"/>
      <c r="HG18" s="595"/>
      <c r="HM18" s="260"/>
      <c r="HN18" s="260"/>
      <c r="HO18" s="244"/>
      <c r="HP18" s="244"/>
      <c r="HU18" s="595"/>
      <c r="HV18" s="595"/>
      <c r="HW18" s="595"/>
      <c r="IC18" s="260"/>
      <c r="ID18" s="260"/>
      <c r="IE18" s="244"/>
      <c r="IF18" s="244"/>
      <c r="IK18" s="595"/>
      <c r="IL18" s="595"/>
      <c r="IM18" s="595"/>
      <c r="IS18" s="260"/>
      <c r="IT18" s="260"/>
      <c r="IU18" s="244"/>
      <c r="IV18" s="244"/>
    </row>
    <row r="19" spans="1:256" s="243" customFormat="1" ht="15">
      <c r="A19" s="590"/>
      <c r="B19" s="506">
        <v>3</v>
      </c>
      <c r="C19" s="506" t="s">
        <v>2</v>
      </c>
      <c r="D19" s="504"/>
      <c r="E19" s="48">
        <f>D19/27</f>
        <v>0</v>
      </c>
      <c r="F19" s="68" t="e">
        <f>161/D19</f>
        <v>#DIV/0!</v>
      </c>
      <c r="G19" s="68" t="e">
        <f>88/D19</f>
        <v>#DIV/0!</v>
      </c>
      <c r="H19" s="295" t="e">
        <f>G19/59</f>
        <v>#DIV/0!</v>
      </c>
      <c r="I19" s="504">
        <v>0</v>
      </c>
      <c r="J19" s="499" t="e">
        <f>I19/D19</f>
        <v>#DIV/0!</v>
      </c>
      <c r="K19" s="504"/>
      <c r="L19" s="499">
        <f>K19/3</f>
        <v>0</v>
      </c>
      <c r="M19" s="94" t="e">
        <f>161/K19</f>
        <v>#DIV/0!</v>
      </c>
      <c r="N19" s="504">
        <v>0</v>
      </c>
      <c r="O19" s="295" t="e">
        <f t="shared" si="0"/>
        <v>#DIV/0!</v>
      </c>
      <c r="P19" s="70"/>
      <c r="Q19" s="295" t="e">
        <f t="shared" si="1"/>
        <v>#DIV/0!</v>
      </c>
      <c r="T19" s="204"/>
      <c r="Y19" s="144"/>
      <c r="AA19" s="204"/>
      <c r="AC19" s="260"/>
      <c r="AD19" s="261"/>
      <c r="AE19" s="246"/>
      <c r="AF19" s="208"/>
      <c r="AJ19" s="204"/>
      <c r="AO19" s="144"/>
      <c r="AQ19" s="204"/>
      <c r="AS19" s="260"/>
      <c r="AT19" s="261"/>
      <c r="AU19" s="246"/>
      <c r="AV19" s="208"/>
      <c r="AZ19" s="204"/>
      <c r="BE19" s="144"/>
      <c r="BG19" s="204"/>
      <c r="BI19" s="260"/>
      <c r="BJ19" s="261"/>
      <c r="BK19" s="246"/>
      <c r="BL19" s="208"/>
      <c r="BP19" s="204"/>
      <c r="BU19" s="144"/>
      <c r="BW19" s="204"/>
      <c r="BY19" s="260"/>
      <c r="BZ19" s="261"/>
      <c r="CA19" s="246"/>
      <c r="CB19" s="208"/>
      <c r="CF19" s="204"/>
      <c r="CK19" s="144"/>
      <c r="CM19" s="204"/>
      <c r="CO19" s="260"/>
      <c r="CP19" s="261"/>
      <c r="CQ19" s="246"/>
      <c r="CR19" s="208"/>
      <c r="CV19" s="204"/>
      <c r="DA19" s="144"/>
      <c r="DC19" s="204"/>
      <c r="DE19" s="260"/>
      <c r="DF19" s="261"/>
      <c r="DG19" s="246"/>
      <c r="DH19" s="208"/>
      <c r="DL19" s="204"/>
      <c r="DQ19" s="144"/>
      <c r="DS19" s="204"/>
      <c r="DU19" s="260"/>
      <c r="DV19" s="261"/>
      <c r="DW19" s="246"/>
      <c r="DX19" s="208"/>
      <c r="EB19" s="204"/>
      <c r="EG19" s="144"/>
      <c r="EI19" s="204"/>
      <c r="EK19" s="260"/>
      <c r="EL19" s="261"/>
      <c r="EM19" s="246"/>
      <c r="EN19" s="208"/>
      <c r="ER19" s="204"/>
      <c r="EW19" s="144"/>
      <c r="EY19" s="204"/>
      <c r="FA19" s="260"/>
      <c r="FB19" s="261"/>
      <c r="FC19" s="246"/>
      <c r="FD19" s="208"/>
      <c r="FH19" s="204"/>
      <c r="FM19" s="144"/>
      <c r="FO19" s="204"/>
      <c r="FQ19" s="260"/>
      <c r="FR19" s="261"/>
      <c r="FS19" s="246"/>
      <c r="FT19" s="208"/>
      <c r="FX19" s="204"/>
      <c r="GC19" s="144"/>
      <c r="GE19" s="204"/>
      <c r="GG19" s="260"/>
      <c r="GH19" s="261"/>
      <c r="GI19" s="246"/>
      <c r="GJ19" s="208"/>
      <c r="GN19" s="204"/>
      <c r="GS19" s="144"/>
      <c r="GU19" s="204"/>
      <c r="GW19" s="260"/>
      <c r="GX19" s="261"/>
      <c r="GY19" s="246"/>
      <c r="GZ19" s="208"/>
      <c r="HD19" s="204"/>
      <c r="HI19" s="144"/>
      <c r="HK19" s="204"/>
      <c r="HM19" s="260"/>
      <c r="HN19" s="261"/>
      <c r="HO19" s="246"/>
      <c r="HP19" s="208"/>
      <c r="HT19" s="204"/>
      <c r="HY19" s="144"/>
      <c r="IA19" s="204"/>
      <c r="IC19" s="260"/>
      <c r="ID19" s="261"/>
      <c r="IE19" s="246"/>
      <c r="IF19" s="208"/>
      <c r="IJ19" s="204"/>
      <c r="IO19" s="144"/>
      <c r="IQ19" s="204"/>
      <c r="IS19" s="260"/>
      <c r="IT19" s="261"/>
      <c r="IU19" s="246"/>
      <c r="IV19" s="208"/>
    </row>
    <row r="20" spans="1:256" s="243" customFormat="1" ht="15">
      <c r="A20" s="590"/>
      <c r="B20" s="506">
        <v>4</v>
      </c>
      <c r="C20" s="506" t="s">
        <v>3</v>
      </c>
      <c r="D20" s="504">
        <v>6</v>
      </c>
      <c r="E20" s="48">
        <f>D20/27</f>
        <v>0.2222222222222222</v>
      </c>
      <c r="F20" s="504">
        <v>49</v>
      </c>
      <c r="G20" s="504">
        <v>26</v>
      </c>
      <c r="H20" s="295">
        <f>G20/58</f>
        <v>0.4482758620689655</v>
      </c>
      <c r="I20" s="504">
        <v>0</v>
      </c>
      <c r="J20" s="499">
        <f>I20/D20</f>
        <v>0</v>
      </c>
      <c r="K20" s="504">
        <v>6</v>
      </c>
      <c r="L20" s="499">
        <f>K20/6</f>
        <v>1</v>
      </c>
      <c r="M20" s="504">
        <v>49</v>
      </c>
      <c r="N20" s="504">
        <v>0</v>
      </c>
      <c r="O20" s="295">
        <f t="shared" si="0"/>
        <v>0</v>
      </c>
      <c r="P20" s="70"/>
      <c r="Q20" s="295">
        <f t="shared" si="1"/>
        <v>0</v>
      </c>
      <c r="T20" s="204"/>
      <c r="U20" s="205"/>
      <c r="V20" s="205"/>
      <c r="W20" s="206"/>
      <c r="Y20" s="144"/>
      <c r="AA20" s="144"/>
      <c r="AC20" s="260"/>
      <c r="AD20" s="262"/>
      <c r="AE20" s="246"/>
      <c r="AF20" s="208"/>
      <c r="AJ20" s="204"/>
      <c r="AK20" s="205"/>
      <c r="AL20" s="205"/>
      <c r="AM20" s="206"/>
      <c r="AO20" s="144"/>
      <c r="AQ20" s="144"/>
      <c r="AS20" s="260"/>
      <c r="AT20" s="262"/>
      <c r="AU20" s="246"/>
      <c r="AV20" s="208"/>
      <c r="AZ20" s="204"/>
      <c r="BA20" s="205"/>
      <c r="BB20" s="205"/>
      <c r="BC20" s="206"/>
      <c r="BE20" s="144"/>
      <c r="BG20" s="144"/>
      <c r="BI20" s="260"/>
      <c r="BJ20" s="262"/>
      <c r="BK20" s="246"/>
      <c r="BL20" s="208"/>
      <c r="BP20" s="204"/>
      <c r="BQ20" s="205"/>
      <c r="BR20" s="205"/>
      <c r="BS20" s="206"/>
      <c r="BU20" s="144"/>
      <c r="BW20" s="144"/>
      <c r="BY20" s="260"/>
      <c r="BZ20" s="262"/>
      <c r="CA20" s="246"/>
      <c r="CB20" s="208"/>
      <c r="CF20" s="204"/>
      <c r="CG20" s="205"/>
      <c r="CH20" s="205"/>
      <c r="CI20" s="206"/>
      <c r="CK20" s="144"/>
      <c r="CM20" s="144"/>
      <c r="CO20" s="260"/>
      <c r="CP20" s="262"/>
      <c r="CQ20" s="246"/>
      <c r="CR20" s="208"/>
      <c r="CV20" s="204"/>
      <c r="CW20" s="205"/>
      <c r="CX20" s="205"/>
      <c r="CY20" s="206"/>
      <c r="DA20" s="144"/>
      <c r="DC20" s="144"/>
      <c r="DE20" s="260"/>
      <c r="DF20" s="262"/>
      <c r="DG20" s="246"/>
      <c r="DH20" s="208"/>
      <c r="DL20" s="204"/>
      <c r="DM20" s="205"/>
      <c r="DN20" s="205"/>
      <c r="DO20" s="206"/>
      <c r="DQ20" s="144"/>
      <c r="DS20" s="144"/>
      <c r="DU20" s="260"/>
      <c r="DV20" s="262"/>
      <c r="DW20" s="246"/>
      <c r="DX20" s="208"/>
      <c r="EB20" s="204"/>
      <c r="EC20" s="205"/>
      <c r="ED20" s="205"/>
      <c r="EE20" s="206"/>
      <c r="EG20" s="144"/>
      <c r="EI20" s="144"/>
      <c r="EK20" s="260"/>
      <c r="EL20" s="262"/>
      <c r="EM20" s="246"/>
      <c r="EN20" s="208"/>
      <c r="ER20" s="204"/>
      <c r="ES20" s="205"/>
      <c r="ET20" s="205"/>
      <c r="EU20" s="206"/>
      <c r="EW20" s="144"/>
      <c r="EY20" s="144"/>
      <c r="FA20" s="260"/>
      <c r="FB20" s="262"/>
      <c r="FC20" s="246"/>
      <c r="FD20" s="208"/>
      <c r="FH20" s="204"/>
      <c r="FI20" s="205"/>
      <c r="FJ20" s="205"/>
      <c r="FK20" s="206"/>
      <c r="FM20" s="144"/>
      <c r="FO20" s="144"/>
      <c r="FQ20" s="260"/>
      <c r="FR20" s="262"/>
      <c r="FS20" s="246"/>
      <c r="FT20" s="208"/>
      <c r="FX20" s="204"/>
      <c r="FY20" s="205"/>
      <c r="FZ20" s="205"/>
      <c r="GA20" s="206"/>
      <c r="GC20" s="144"/>
      <c r="GE20" s="144"/>
      <c r="GG20" s="260"/>
      <c r="GH20" s="262"/>
      <c r="GI20" s="246"/>
      <c r="GJ20" s="208"/>
      <c r="GN20" s="204"/>
      <c r="GO20" s="205"/>
      <c r="GP20" s="205"/>
      <c r="GQ20" s="206"/>
      <c r="GS20" s="144"/>
      <c r="GU20" s="144"/>
      <c r="GW20" s="260"/>
      <c r="GX20" s="262"/>
      <c r="GY20" s="246"/>
      <c r="GZ20" s="208"/>
      <c r="HD20" s="204"/>
      <c r="HE20" s="205"/>
      <c r="HF20" s="205"/>
      <c r="HG20" s="206"/>
      <c r="HI20" s="144"/>
      <c r="HK20" s="144"/>
      <c r="HM20" s="260"/>
      <c r="HN20" s="262"/>
      <c r="HO20" s="246"/>
      <c r="HP20" s="208"/>
      <c r="HT20" s="204"/>
      <c r="HU20" s="205"/>
      <c r="HV20" s="205"/>
      <c r="HW20" s="206"/>
      <c r="HY20" s="144"/>
      <c r="IA20" s="144"/>
      <c r="IC20" s="260"/>
      <c r="ID20" s="262"/>
      <c r="IE20" s="246"/>
      <c r="IF20" s="208"/>
      <c r="IJ20" s="204"/>
      <c r="IK20" s="205"/>
      <c r="IL20" s="205"/>
      <c r="IM20" s="206"/>
      <c r="IO20" s="144"/>
      <c r="IQ20" s="144"/>
      <c r="IS20" s="260"/>
      <c r="IT20" s="262"/>
      <c r="IU20" s="246"/>
      <c r="IV20" s="208"/>
    </row>
    <row r="21" spans="1:256" s="243" customFormat="1" ht="30">
      <c r="A21" s="590"/>
      <c r="B21" s="506">
        <v>5</v>
      </c>
      <c r="C21" s="506" t="s">
        <v>4</v>
      </c>
      <c r="D21" s="504"/>
      <c r="E21" s="48">
        <f>D21/5</f>
        <v>0</v>
      </c>
      <c r="F21" s="504">
        <v>0</v>
      </c>
      <c r="G21" s="504">
        <v>0</v>
      </c>
      <c r="H21" s="504">
        <v>0</v>
      </c>
      <c r="I21" s="504"/>
      <c r="J21" s="499"/>
      <c r="K21" s="504"/>
      <c r="L21" s="504"/>
      <c r="M21" s="504"/>
      <c r="N21" s="504"/>
      <c r="O21" s="295" t="e">
        <f t="shared" si="0"/>
        <v>#DIV/0!</v>
      </c>
      <c r="P21" s="70"/>
      <c r="Q21" s="295" t="e">
        <f t="shared" si="1"/>
        <v>#DIV/0!</v>
      </c>
      <c r="T21" s="204"/>
      <c r="W21" s="206"/>
      <c r="Y21" s="144"/>
      <c r="AA21" s="204"/>
      <c r="AB21" s="207"/>
      <c r="AC21" s="260"/>
      <c r="AD21" s="262"/>
      <c r="AE21" s="246"/>
      <c r="AF21" s="208"/>
      <c r="AJ21" s="204"/>
      <c r="AM21" s="206"/>
      <c r="AO21" s="144"/>
      <c r="AQ21" s="204"/>
      <c r="AR21" s="207"/>
      <c r="AS21" s="260"/>
      <c r="AT21" s="262"/>
      <c r="AU21" s="246"/>
      <c r="AV21" s="208"/>
      <c r="AZ21" s="204"/>
      <c r="BC21" s="206"/>
      <c r="BE21" s="144"/>
      <c r="BG21" s="204"/>
      <c r="BH21" s="207"/>
      <c r="BI21" s="260"/>
      <c r="BJ21" s="262"/>
      <c r="BK21" s="246"/>
      <c r="BL21" s="208"/>
      <c r="BP21" s="204"/>
      <c r="BS21" s="206"/>
      <c r="BU21" s="144"/>
      <c r="BW21" s="204"/>
      <c r="BX21" s="207"/>
      <c r="BY21" s="260"/>
      <c r="BZ21" s="262"/>
      <c r="CA21" s="246"/>
      <c r="CB21" s="208"/>
      <c r="CF21" s="204"/>
      <c r="CI21" s="206"/>
      <c r="CK21" s="144"/>
      <c r="CM21" s="204"/>
      <c r="CN21" s="207"/>
      <c r="CO21" s="260"/>
      <c r="CP21" s="262"/>
      <c r="CQ21" s="246"/>
      <c r="CR21" s="208"/>
      <c r="CV21" s="204"/>
      <c r="CY21" s="206"/>
      <c r="DA21" s="144"/>
      <c r="DC21" s="204"/>
      <c r="DD21" s="207"/>
      <c r="DE21" s="260"/>
      <c r="DF21" s="262"/>
      <c r="DG21" s="246"/>
      <c r="DH21" s="208"/>
      <c r="DL21" s="204"/>
      <c r="DO21" s="206"/>
      <c r="DQ21" s="144"/>
      <c r="DS21" s="204"/>
      <c r="DT21" s="207"/>
      <c r="DU21" s="260"/>
      <c r="DV21" s="262"/>
      <c r="DW21" s="246"/>
      <c r="DX21" s="208"/>
      <c r="EB21" s="204"/>
      <c r="EE21" s="206"/>
      <c r="EG21" s="144"/>
      <c r="EI21" s="204"/>
      <c r="EJ21" s="207"/>
      <c r="EK21" s="260"/>
      <c r="EL21" s="262"/>
      <c r="EM21" s="246"/>
      <c r="EN21" s="208"/>
      <c r="ER21" s="204"/>
      <c r="EU21" s="206"/>
      <c r="EW21" s="144"/>
      <c r="EY21" s="204"/>
      <c r="EZ21" s="207"/>
      <c r="FA21" s="260"/>
      <c r="FB21" s="262"/>
      <c r="FC21" s="246"/>
      <c r="FD21" s="208"/>
      <c r="FH21" s="204"/>
      <c r="FK21" s="206"/>
      <c r="FM21" s="144"/>
      <c r="FO21" s="204"/>
      <c r="FP21" s="207"/>
      <c r="FQ21" s="260"/>
      <c r="FR21" s="262"/>
      <c r="FS21" s="246"/>
      <c r="FT21" s="208"/>
      <c r="FX21" s="204"/>
      <c r="GA21" s="206"/>
      <c r="GC21" s="144"/>
      <c r="GE21" s="204"/>
      <c r="GF21" s="207"/>
      <c r="GG21" s="260"/>
      <c r="GH21" s="262"/>
      <c r="GI21" s="246"/>
      <c r="GJ21" s="208"/>
      <c r="GN21" s="204"/>
      <c r="GQ21" s="206"/>
      <c r="GS21" s="144"/>
      <c r="GU21" s="204"/>
      <c r="GV21" s="207"/>
      <c r="GW21" s="260"/>
      <c r="GX21" s="262"/>
      <c r="GY21" s="246"/>
      <c r="GZ21" s="208"/>
      <c r="HD21" s="204"/>
      <c r="HG21" s="206"/>
      <c r="HI21" s="144"/>
      <c r="HK21" s="204"/>
      <c r="HL21" s="207"/>
      <c r="HM21" s="260"/>
      <c r="HN21" s="262"/>
      <c r="HO21" s="246"/>
      <c r="HP21" s="208"/>
      <c r="HT21" s="204"/>
      <c r="HW21" s="206"/>
      <c r="HY21" s="144"/>
      <c r="IA21" s="204"/>
      <c r="IB21" s="207"/>
      <c r="IC21" s="260"/>
      <c r="ID21" s="262"/>
      <c r="IE21" s="246"/>
      <c r="IF21" s="208"/>
      <c r="IJ21" s="204"/>
      <c r="IM21" s="206"/>
      <c r="IO21" s="144"/>
      <c r="IQ21" s="204"/>
      <c r="IR21" s="207"/>
      <c r="IS21" s="260"/>
      <c r="IT21" s="262"/>
      <c r="IU21" s="246"/>
      <c r="IV21" s="208"/>
    </row>
    <row r="22" spans="1:256" s="243" customFormat="1" ht="30">
      <c r="A22" s="590"/>
      <c r="B22" s="506">
        <v>6</v>
      </c>
      <c r="C22" s="506" t="s">
        <v>5</v>
      </c>
      <c r="D22" s="504"/>
      <c r="E22" s="48">
        <f>D22/5</f>
        <v>0</v>
      </c>
      <c r="F22" s="504">
        <v>0</v>
      </c>
      <c r="G22" s="504">
        <v>0</v>
      </c>
      <c r="H22" s="295">
        <f>G22/61</f>
        <v>0</v>
      </c>
      <c r="I22" s="504">
        <v>0</v>
      </c>
      <c r="J22" s="499" t="e">
        <f>I22/D22</f>
        <v>#DIV/0!</v>
      </c>
      <c r="K22" s="504"/>
      <c r="L22" s="504">
        <v>0</v>
      </c>
      <c r="M22" s="504">
        <v>0</v>
      </c>
      <c r="N22" s="504">
        <v>0</v>
      </c>
      <c r="O22" s="295" t="e">
        <f t="shared" si="0"/>
        <v>#DIV/0!</v>
      </c>
      <c r="P22" s="70"/>
      <c r="Q22" s="295" t="e">
        <f t="shared" si="1"/>
        <v>#DIV/0!</v>
      </c>
      <c r="T22" s="204"/>
      <c r="W22" s="206"/>
      <c r="Y22" s="144"/>
      <c r="AA22" s="144"/>
      <c r="AC22" s="260"/>
      <c r="AD22" s="262"/>
      <c r="AE22" s="246"/>
      <c r="AF22" s="210"/>
      <c r="AJ22" s="204"/>
      <c r="AM22" s="206"/>
      <c r="AO22" s="144"/>
      <c r="AQ22" s="144"/>
      <c r="AS22" s="260"/>
      <c r="AT22" s="262"/>
      <c r="AU22" s="246"/>
      <c r="AV22" s="210"/>
      <c r="AZ22" s="204"/>
      <c r="BC22" s="206"/>
      <c r="BE22" s="144"/>
      <c r="BG22" s="144"/>
      <c r="BI22" s="260"/>
      <c r="BJ22" s="262"/>
      <c r="BK22" s="246"/>
      <c r="BL22" s="210"/>
      <c r="BP22" s="204"/>
      <c r="BS22" s="206"/>
      <c r="BU22" s="144"/>
      <c r="BW22" s="144"/>
      <c r="BY22" s="260"/>
      <c r="BZ22" s="262"/>
      <c r="CA22" s="246"/>
      <c r="CB22" s="210"/>
      <c r="CF22" s="204"/>
      <c r="CI22" s="206"/>
      <c r="CK22" s="144"/>
      <c r="CM22" s="144"/>
      <c r="CO22" s="260"/>
      <c r="CP22" s="262"/>
      <c r="CQ22" s="246"/>
      <c r="CR22" s="210"/>
      <c r="CV22" s="204"/>
      <c r="CY22" s="206"/>
      <c r="DA22" s="144"/>
      <c r="DC22" s="144"/>
      <c r="DE22" s="260"/>
      <c r="DF22" s="262"/>
      <c r="DG22" s="246"/>
      <c r="DH22" s="210"/>
      <c r="DL22" s="204"/>
      <c r="DO22" s="206"/>
      <c r="DQ22" s="144"/>
      <c r="DS22" s="144"/>
      <c r="DU22" s="260"/>
      <c r="DV22" s="262"/>
      <c r="DW22" s="246"/>
      <c r="DX22" s="210"/>
      <c r="EB22" s="204"/>
      <c r="EE22" s="206"/>
      <c r="EG22" s="144"/>
      <c r="EI22" s="144"/>
      <c r="EK22" s="260"/>
      <c r="EL22" s="262"/>
      <c r="EM22" s="246"/>
      <c r="EN22" s="210"/>
      <c r="ER22" s="204"/>
      <c r="EU22" s="206"/>
      <c r="EW22" s="144"/>
      <c r="EY22" s="144"/>
      <c r="FA22" s="260"/>
      <c r="FB22" s="262"/>
      <c r="FC22" s="246"/>
      <c r="FD22" s="210"/>
      <c r="FH22" s="204"/>
      <c r="FK22" s="206"/>
      <c r="FM22" s="144"/>
      <c r="FO22" s="144"/>
      <c r="FQ22" s="260"/>
      <c r="FR22" s="262"/>
      <c r="FS22" s="246"/>
      <c r="FT22" s="210"/>
      <c r="FX22" s="204"/>
      <c r="GA22" s="206"/>
      <c r="GC22" s="144"/>
      <c r="GE22" s="144"/>
      <c r="GG22" s="260"/>
      <c r="GH22" s="262"/>
      <c r="GI22" s="246"/>
      <c r="GJ22" s="210"/>
      <c r="GN22" s="204"/>
      <c r="GQ22" s="206"/>
      <c r="GS22" s="144"/>
      <c r="GU22" s="144"/>
      <c r="GW22" s="260"/>
      <c r="GX22" s="262"/>
      <c r="GY22" s="246"/>
      <c r="GZ22" s="210"/>
      <c r="HD22" s="204"/>
      <c r="HG22" s="206"/>
      <c r="HI22" s="144"/>
      <c r="HK22" s="144"/>
      <c r="HM22" s="260"/>
      <c r="HN22" s="262"/>
      <c r="HO22" s="246"/>
      <c r="HP22" s="210"/>
      <c r="HT22" s="204"/>
      <c r="HW22" s="206"/>
      <c r="HY22" s="144"/>
      <c r="IA22" s="144"/>
      <c r="IC22" s="260"/>
      <c r="ID22" s="262"/>
      <c r="IE22" s="246"/>
      <c r="IF22" s="210"/>
      <c r="IJ22" s="204"/>
      <c r="IM22" s="206"/>
      <c r="IO22" s="144"/>
      <c r="IQ22" s="144"/>
      <c r="IS22" s="260"/>
      <c r="IT22" s="262"/>
      <c r="IU22" s="246"/>
      <c r="IV22" s="210"/>
    </row>
    <row r="23" spans="1:256" s="243" customFormat="1" ht="15">
      <c r="A23" s="590"/>
      <c r="B23" s="508"/>
      <c r="C23" s="508" t="s">
        <v>6</v>
      </c>
      <c r="D23" s="296">
        <f>SUM(D17:D22)</f>
        <v>14</v>
      </c>
      <c r="E23" s="171">
        <f>D23/108</f>
        <v>0.12962962962962962</v>
      </c>
      <c r="F23" s="346">
        <f>(517+300)/D23</f>
        <v>58.357142857142854</v>
      </c>
      <c r="G23" s="346">
        <f>(300+155)/D23</f>
        <v>32.5</v>
      </c>
      <c r="H23" s="298">
        <f>G23/58</f>
        <v>0.5603448275862069</v>
      </c>
      <c r="I23" s="296">
        <f>SUM(I17:I22)</f>
        <v>0</v>
      </c>
      <c r="J23" s="83">
        <f>I23/D23</f>
        <v>0</v>
      </c>
      <c r="K23" s="296">
        <f>SUM(K17:K22)</f>
        <v>13</v>
      </c>
      <c r="L23" s="298">
        <f>K23/16</f>
        <v>0.8125</v>
      </c>
      <c r="M23" s="296">
        <v>58.36</v>
      </c>
      <c r="N23" s="296">
        <f>SUM(N17:N22)</f>
        <v>0</v>
      </c>
      <c r="O23" s="298">
        <f t="shared" si="0"/>
        <v>0</v>
      </c>
      <c r="P23" s="269">
        <f>SUM(P17:P22)</f>
        <v>0</v>
      </c>
      <c r="Q23" s="295">
        <f t="shared" si="1"/>
        <v>0</v>
      </c>
      <c r="T23" s="204"/>
      <c r="Y23" s="144"/>
      <c r="AC23" s="260"/>
      <c r="AD23" s="262"/>
      <c r="AE23" s="246"/>
      <c r="AF23" s="208"/>
      <c r="AJ23" s="204"/>
      <c r="AO23" s="144"/>
      <c r="AS23" s="260"/>
      <c r="AT23" s="262"/>
      <c r="AU23" s="246"/>
      <c r="AV23" s="208"/>
      <c r="AZ23" s="204"/>
      <c r="BE23" s="144"/>
      <c r="BI23" s="260"/>
      <c r="BJ23" s="262"/>
      <c r="BK23" s="246"/>
      <c r="BL23" s="208"/>
      <c r="BP23" s="204"/>
      <c r="BU23" s="144"/>
      <c r="BY23" s="260"/>
      <c r="BZ23" s="262"/>
      <c r="CA23" s="246"/>
      <c r="CB23" s="208"/>
      <c r="CF23" s="204"/>
      <c r="CK23" s="144"/>
      <c r="CO23" s="260"/>
      <c r="CP23" s="262"/>
      <c r="CQ23" s="246"/>
      <c r="CR23" s="208"/>
      <c r="CV23" s="204"/>
      <c r="DA23" s="144"/>
      <c r="DE23" s="260"/>
      <c r="DF23" s="262"/>
      <c r="DG23" s="246"/>
      <c r="DH23" s="208"/>
      <c r="DL23" s="204"/>
      <c r="DQ23" s="144"/>
      <c r="DU23" s="260"/>
      <c r="DV23" s="262"/>
      <c r="DW23" s="246"/>
      <c r="DX23" s="208"/>
      <c r="EB23" s="204"/>
      <c r="EG23" s="144"/>
      <c r="EK23" s="260"/>
      <c r="EL23" s="262"/>
      <c r="EM23" s="246"/>
      <c r="EN23" s="208"/>
      <c r="ER23" s="204"/>
      <c r="EW23" s="144"/>
      <c r="FA23" s="260"/>
      <c r="FB23" s="262"/>
      <c r="FC23" s="246"/>
      <c r="FD23" s="208"/>
      <c r="FH23" s="204"/>
      <c r="FM23" s="144"/>
      <c r="FQ23" s="260"/>
      <c r="FR23" s="262"/>
      <c r="FS23" s="246"/>
      <c r="FT23" s="208"/>
      <c r="FX23" s="204"/>
      <c r="GC23" s="144"/>
      <c r="GG23" s="260"/>
      <c r="GH23" s="262"/>
      <c r="GI23" s="246"/>
      <c r="GJ23" s="208"/>
      <c r="GN23" s="204"/>
      <c r="GS23" s="144"/>
      <c r="GW23" s="260"/>
      <c r="GX23" s="262"/>
      <c r="GY23" s="246"/>
      <c r="GZ23" s="208"/>
      <c r="HD23" s="204"/>
      <c r="HI23" s="144"/>
      <c r="HM23" s="260"/>
      <c r="HN23" s="262"/>
      <c r="HO23" s="246"/>
      <c r="HP23" s="208"/>
      <c r="HT23" s="204"/>
      <c r="HY23" s="144"/>
      <c r="IC23" s="260"/>
      <c r="ID23" s="262"/>
      <c r="IE23" s="246"/>
      <c r="IF23" s="208"/>
      <c r="IJ23" s="204"/>
      <c r="IO23" s="144"/>
      <c r="IS23" s="260"/>
      <c r="IT23" s="262"/>
      <c r="IU23" s="246"/>
      <c r="IV23" s="208"/>
    </row>
    <row r="24" spans="1:256" s="243" customFormat="1" ht="15">
      <c r="A24" s="590"/>
      <c r="B24" s="508"/>
      <c r="C24" s="508" t="s">
        <v>22</v>
      </c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8"/>
      <c r="P24" s="296"/>
      <c r="Q24" s="296"/>
      <c r="T24" s="204"/>
      <c r="W24" s="206"/>
      <c r="Y24" s="144"/>
      <c r="AC24" s="260"/>
      <c r="AD24" s="262"/>
      <c r="AE24" s="246"/>
      <c r="AF24" s="208"/>
      <c r="AJ24" s="204"/>
      <c r="AM24" s="206"/>
      <c r="AO24" s="144"/>
      <c r="AS24" s="260"/>
      <c r="AT24" s="262"/>
      <c r="AU24" s="246"/>
      <c r="AV24" s="208"/>
      <c r="AZ24" s="204"/>
      <c r="BC24" s="206"/>
      <c r="BE24" s="144"/>
      <c r="BI24" s="260"/>
      <c r="BJ24" s="262"/>
      <c r="BK24" s="246"/>
      <c r="BL24" s="208"/>
      <c r="BP24" s="204"/>
      <c r="BS24" s="206"/>
      <c r="BU24" s="144"/>
      <c r="BY24" s="260"/>
      <c r="BZ24" s="262"/>
      <c r="CA24" s="246"/>
      <c r="CB24" s="208"/>
      <c r="CF24" s="204"/>
      <c r="CI24" s="206"/>
      <c r="CK24" s="144"/>
      <c r="CO24" s="260"/>
      <c r="CP24" s="262"/>
      <c r="CQ24" s="246"/>
      <c r="CR24" s="208"/>
      <c r="CV24" s="204"/>
      <c r="CY24" s="206"/>
      <c r="DA24" s="144"/>
      <c r="DE24" s="260"/>
      <c r="DF24" s="262"/>
      <c r="DG24" s="246"/>
      <c r="DH24" s="208"/>
      <c r="DL24" s="204"/>
      <c r="DO24" s="206"/>
      <c r="DQ24" s="144"/>
      <c r="DU24" s="260"/>
      <c r="DV24" s="262"/>
      <c r="DW24" s="246"/>
      <c r="DX24" s="208"/>
      <c r="EB24" s="204"/>
      <c r="EE24" s="206"/>
      <c r="EG24" s="144"/>
      <c r="EK24" s="260"/>
      <c r="EL24" s="262"/>
      <c r="EM24" s="246"/>
      <c r="EN24" s="208"/>
      <c r="ER24" s="204"/>
      <c r="EU24" s="206"/>
      <c r="EW24" s="144"/>
      <c r="FA24" s="260"/>
      <c r="FB24" s="262"/>
      <c r="FC24" s="246"/>
      <c r="FD24" s="208"/>
      <c r="FH24" s="204"/>
      <c r="FK24" s="206"/>
      <c r="FM24" s="144"/>
      <c r="FQ24" s="260"/>
      <c r="FR24" s="262"/>
      <c r="FS24" s="246"/>
      <c r="FT24" s="208"/>
      <c r="FX24" s="204"/>
      <c r="GA24" s="206"/>
      <c r="GC24" s="144"/>
      <c r="GG24" s="260"/>
      <c r="GH24" s="262"/>
      <c r="GI24" s="246"/>
      <c r="GJ24" s="208"/>
      <c r="GN24" s="204"/>
      <c r="GQ24" s="206"/>
      <c r="GS24" s="144"/>
      <c r="GW24" s="260"/>
      <c r="GX24" s="262"/>
      <c r="GY24" s="246"/>
      <c r="GZ24" s="208"/>
      <c r="HD24" s="204"/>
      <c r="HG24" s="206"/>
      <c r="HI24" s="144"/>
      <c r="HM24" s="260"/>
      <c r="HN24" s="262"/>
      <c r="HO24" s="246"/>
      <c r="HP24" s="208"/>
      <c r="HT24" s="204"/>
      <c r="HW24" s="206"/>
      <c r="HY24" s="144"/>
      <c r="IC24" s="260"/>
      <c r="ID24" s="262"/>
      <c r="IE24" s="246"/>
      <c r="IF24" s="208"/>
      <c r="IJ24" s="204"/>
      <c r="IM24" s="206"/>
      <c r="IO24" s="144"/>
      <c r="IS24" s="260"/>
      <c r="IT24" s="262"/>
      <c r="IU24" s="246"/>
      <c r="IV24" s="208"/>
    </row>
    <row r="25" spans="1:256" s="243" customFormat="1" ht="15">
      <c r="A25" s="505"/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81"/>
      <c r="O25" s="81"/>
      <c r="P25" s="505"/>
      <c r="Q25" s="505"/>
      <c r="R25" s="141"/>
      <c r="S25" s="141"/>
      <c r="T25" s="142"/>
      <c r="U25" s="263"/>
      <c r="V25" s="263"/>
      <c r="W25" s="264"/>
      <c r="X25" s="141"/>
      <c r="Y25" s="134"/>
      <c r="Z25" s="141"/>
      <c r="AA25" s="264"/>
      <c r="AB25" s="141"/>
      <c r="AC25" s="217"/>
      <c r="AD25" s="265"/>
      <c r="AE25" s="247"/>
      <c r="AF25" s="208"/>
      <c r="AG25" s="141"/>
      <c r="AH25" s="141"/>
      <c r="AI25" s="141"/>
      <c r="AJ25" s="142"/>
      <c r="AK25" s="263"/>
      <c r="AL25" s="263"/>
      <c r="AM25" s="264"/>
      <c r="AN25" s="141"/>
      <c r="AO25" s="134"/>
      <c r="AP25" s="141"/>
      <c r="AQ25" s="264"/>
      <c r="AR25" s="141"/>
      <c r="AS25" s="217"/>
      <c r="AT25" s="265"/>
      <c r="AU25" s="247"/>
      <c r="AV25" s="208"/>
      <c r="AW25" s="141"/>
      <c r="AX25" s="141"/>
      <c r="AY25" s="141"/>
      <c r="AZ25" s="142"/>
      <c r="BA25" s="263"/>
      <c r="BB25" s="263"/>
      <c r="BC25" s="264"/>
      <c r="BD25" s="141"/>
      <c r="BE25" s="134"/>
      <c r="BF25" s="141"/>
      <c r="BG25" s="264"/>
      <c r="BH25" s="141"/>
      <c r="BI25" s="217"/>
      <c r="BJ25" s="265"/>
      <c r="BK25" s="247"/>
      <c r="BL25" s="208"/>
      <c r="BM25" s="141"/>
      <c r="BN25" s="141"/>
      <c r="BO25" s="141"/>
      <c r="BP25" s="142"/>
      <c r="BQ25" s="263"/>
      <c r="BR25" s="263"/>
      <c r="BS25" s="264"/>
      <c r="BT25" s="141"/>
      <c r="BU25" s="134"/>
      <c r="BV25" s="141"/>
      <c r="BW25" s="264"/>
      <c r="BX25" s="141"/>
      <c r="BY25" s="217"/>
      <c r="BZ25" s="265"/>
      <c r="CA25" s="247"/>
      <c r="CB25" s="208"/>
      <c r="CC25" s="141"/>
      <c r="CD25" s="141"/>
      <c r="CE25" s="141"/>
      <c r="CF25" s="142"/>
      <c r="CG25" s="263"/>
      <c r="CH25" s="263"/>
      <c r="CI25" s="264"/>
      <c r="CJ25" s="141"/>
      <c r="CK25" s="134"/>
      <c r="CL25" s="141"/>
      <c r="CM25" s="264"/>
      <c r="CN25" s="141"/>
      <c r="CO25" s="217"/>
      <c r="CP25" s="265"/>
      <c r="CQ25" s="247"/>
      <c r="CR25" s="208"/>
      <c r="CS25" s="141"/>
      <c r="CT25" s="141"/>
      <c r="CU25" s="141"/>
      <c r="CV25" s="142"/>
      <c r="CW25" s="263"/>
      <c r="CX25" s="263"/>
      <c r="CY25" s="264"/>
      <c r="CZ25" s="141"/>
      <c r="DA25" s="134"/>
      <c r="DB25" s="141"/>
      <c r="DC25" s="264"/>
      <c r="DD25" s="141"/>
      <c r="DE25" s="217"/>
      <c r="DF25" s="265"/>
      <c r="DG25" s="247"/>
      <c r="DH25" s="208"/>
      <c r="DI25" s="141"/>
      <c r="DJ25" s="141"/>
      <c r="DK25" s="141"/>
      <c r="DL25" s="142"/>
      <c r="DM25" s="263"/>
      <c r="DN25" s="263"/>
      <c r="DO25" s="264"/>
      <c r="DP25" s="141"/>
      <c r="DQ25" s="134"/>
      <c r="DR25" s="141"/>
      <c r="DS25" s="264"/>
      <c r="DT25" s="141"/>
      <c r="DU25" s="217"/>
      <c r="DV25" s="265"/>
      <c r="DW25" s="247"/>
      <c r="DX25" s="208"/>
      <c r="DY25" s="141"/>
      <c r="DZ25" s="141"/>
      <c r="EA25" s="141"/>
      <c r="EB25" s="142"/>
      <c r="EC25" s="263"/>
      <c r="ED25" s="263"/>
      <c r="EE25" s="264"/>
      <c r="EF25" s="141"/>
      <c r="EG25" s="134"/>
      <c r="EH25" s="141"/>
      <c r="EI25" s="264"/>
      <c r="EJ25" s="141"/>
      <c r="EK25" s="217"/>
      <c r="EL25" s="265"/>
      <c r="EM25" s="247"/>
      <c r="EN25" s="208"/>
      <c r="EO25" s="141"/>
      <c r="EP25" s="141"/>
      <c r="EQ25" s="141"/>
      <c r="ER25" s="142"/>
      <c r="ES25" s="263"/>
      <c r="ET25" s="263"/>
      <c r="EU25" s="264"/>
      <c r="EV25" s="141"/>
      <c r="EW25" s="134"/>
      <c r="EX25" s="141"/>
      <c r="EY25" s="264"/>
      <c r="EZ25" s="141"/>
      <c r="FA25" s="217"/>
      <c r="FB25" s="265"/>
      <c r="FC25" s="247"/>
      <c r="FD25" s="208"/>
      <c r="FE25" s="141"/>
      <c r="FF25" s="141"/>
      <c r="FG25" s="141"/>
      <c r="FH25" s="142"/>
      <c r="FI25" s="263"/>
      <c r="FJ25" s="263"/>
      <c r="FK25" s="264"/>
      <c r="FL25" s="141"/>
      <c r="FM25" s="134"/>
      <c r="FN25" s="141"/>
      <c r="FO25" s="264"/>
      <c r="FP25" s="141"/>
      <c r="FQ25" s="217"/>
      <c r="FR25" s="265"/>
      <c r="FS25" s="247"/>
      <c r="FT25" s="208"/>
      <c r="FU25" s="141"/>
      <c r="FV25" s="141"/>
      <c r="FW25" s="141"/>
      <c r="FX25" s="142"/>
      <c r="FY25" s="263"/>
      <c r="FZ25" s="263"/>
      <c r="GA25" s="264"/>
      <c r="GB25" s="141"/>
      <c r="GC25" s="134"/>
      <c r="GD25" s="141"/>
      <c r="GE25" s="264"/>
      <c r="GF25" s="141"/>
      <c r="GG25" s="217"/>
      <c r="GH25" s="265"/>
      <c r="GI25" s="247"/>
      <c r="GJ25" s="208"/>
      <c r="GK25" s="141"/>
      <c r="GL25" s="141"/>
      <c r="GM25" s="141"/>
      <c r="GN25" s="142"/>
      <c r="GO25" s="263"/>
      <c r="GP25" s="263"/>
      <c r="GQ25" s="264"/>
      <c r="GR25" s="141"/>
      <c r="GS25" s="134"/>
      <c r="GT25" s="141"/>
      <c r="GU25" s="264"/>
      <c r="GV25" s="141"/>
      <c r="GW25" s="217"/>
      <c r="GX25" s="265"/>
      <c r="GY25" s="247"/>
      <c r="GZ25" s="208"/>
      <c r="HA25" s="141"/>
      <c r="HB25" s="141"/>
      <c r="HC25" s="141"/>
      <c r="HD25" s="142"/>
      <c r="HE25" s="263"/>
      <c r="HF25" s="263"/>
      <c r="HG25" s="264"/>
      <c r="HH25" s="141"/>
      <c r="HI25" s="134"/>
      <c r="HJ25" s="141"/>
      <c r="HK25" s="264"/>
      <c r="HL25" s="141"/>
      <c r="HM25" s="217"/>
      <c r="HN25" s="265"/>
      <c r="HO25" s="247"/>
      <c r="HP25" s="208"/>
      <c r="HQ25" s="141"/>
      <c r="HR25" s="141"/>
      <c r="HS25" s="141"/>
      <c r="HT25" s="142"/>
      <c r="HU25" s="263"/>
      <c r="HV25" s="263"/>
      <c r="HW25" s="264"/>
      <c r="HX25" s="141"/>
      <c r="HY25" s="134"/>
      <c r="HZ25" s="141"/>
      <c r="IA25" s="264"/>
      <c r="IB25" s="141"/>
      <c r="IC25" s="217"/>
      <c r="ID25" s="265"/>
      <c r="IE25" s="247"/>
      <c r="IF25" s="208"/>
      <c r="IG25" s="141"/>
      <c r="IH25" s="141"/>
      <c r="II25" s="141"/>
      <c r="IJ25" s="142"/>
      <c r="IK25" s="263"/>
      <c r="IL25" s="263"/>
      <c r="IM25" s="264"/>
      <c r="IN25" s="141"/>
      <c r="IO25" s="134"/>
      <c r="IP25" s="141"/>
      <c r="IQ25" s="264"/>
      <c r="IR25" s="141"/>
      <c r="IS25" s="217"/>
      <c r="IT25" s="265"/>
      <c r="IU25" s="247"/>
      <c r="IV25" s="208"/>
    </row>
    <row r="26" spans="1:256" s="243" customFormat="1" ht="15">
      <c r="A26" s="407"/>
      <c r="B26" s="588" t="s">
        <v>210</v>
      </c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81"/>
      <c r="O26" s="81"/>
      <c r="P26" s="407"/>
      <c r="Q26" s="407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217"/>
      <c r="AD26" s="265"/>
      <c r="AE26" s="139"/>
      <c r="AF26" s="139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217"/>
      <c r="AT26" s="265"/>
      <c r="AU26" s="139"/>
      <c r="AV26" s="139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217"/>
      <c r="BJ26" s="265"/>
      <c r="BK26" s="139"/>
      <c r="BL26" s="139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217"/>
      <c r="BZ26" s="265"/>
      <c r="CA26" s="139"/>
      <c r="CB26" s="139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217"/>
      <c r="CP26" s="265"/>
      <c r="CQ26" s="139"/>
      <c r="CR26" s="139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217"/>
      <c r="DF26" s="265"/>
      <c r="DG26" s="139"/>
      <c r="DH26" s="139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217"/>
      <c r="DV26" s="265"/>
      <c r="DW26" s="139"/>
      <c r="DX26" s="139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217"/>
      <c r="EL26" s="265"/>
      <c r="EM26" s="139"/>
      <c r="EN26" s="139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217"/>
      <c r="FB26" s="265"/>
      <c r="FC26" s="139"/>
      <c r="FD26" s="139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217"/>
      <c r="FR26" s="265"/>
      <c r="FS26" s="139"/>
      <c r="FT26" s="139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217"/>
      <c r="GH26" s="265"/>
      <c r="GI26" s="139"/>
      <c r="GJ26" s="139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217"/>
      <c r="GX26" s="265"/>
      <c r="GY26" s="139"/>
      <c r="GZ26" s="139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217"/>
      <c r="HN26" s="265"/>
      <c r="HO26" s="139"/>
      <c r="HP26" s="139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217"/>
      <c r="ID26" s="265"/>
      <c r="IE26" s="139"/>
      <c r="IF26" s="139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  <c r="IS26" s="217"/>
      <c r="IT26" s="265"/>
      <c r="IU26" s="139"/>
      <c r="IV26" s="139"/>
    </row>
    <row r="27" spans="1:17" s="243" customFormat="1" ht="22.5" customHeight="1">
      <c r="A27" s="590" t="s">
        <v>194</v>
      </c>
      <c r="B27" s="408"/>
      <c r="C27" s="408"/>
      <c r="D27" s="590" t="s">
        <v>7</v>
      </c>
      <c r="E27" s="590"/>
      <c r="F27" s="590" t="s">
        <v>39</v>
      </c>
      <c r="G27" s="592" t="s">
        <v>57</v>
      </c>
      <c r="H27" s="592" t="s">
        <v>174</v>
      </c>
      <c r="I27" s="590" t="s">
        <v>9</v>
      </c>
      <c r="J27" s="590"/>
      <c r="K27" s="590" t="s">
        <v>13</v>
      </c>
      <c r="L27" s="590"/>
      <c r="M27" s="590"/>
      <c r="N27" s="599" t="s">
        <v>127</v>
      </c>
      <c r="O27" s="599"/>
      <c r="P27" s="587" t="s">
        <v>215</v>
      </c>
      <c r="Q27" s="587"/>
    </row>
    <row r="28" spans="1:17" s="243" customFormat="1" ht="195">
      <c r="A28" s="590"/>
      <c r="B28" s="408"/>
      <c r="C28" s="408"/>
      <c r="D28" s="408" t="s">
        <v>8</v>
      </c>
      <c r="E28" s="408" t="s">
        <v>11</v>
      </c>
      <c r="F28" s="590"/>
      <c r="G28" s="593"/>
      <c r="H28" s="593"/>
      <c r="I28" s="408" t="s">
        <v>8</v>
      </c>
      <c r="J28" s="408" t="s">
        <v>10</v>
      </c>
      <c r="K28" s="408" t="s">
        <v>14</v>
      </c>
      <c r="L28" s="408" t="s">
        <v>12</v>
      </c>
      <c r="M28" s="408" t="s">
        <v>15</v>
      </c>
      <c r="N28" s="409" t="s">
        <v>8</v>
      </c>
      <c r="O28" s="409" t="s">
        <v>10</v>
      </c>
      <c r="P28" s="410" t="s">
        <v>8</v>
      </c>
      <c r="Q28" s="410" t="s">
        <v>10</v>
      </c>
    </row>
    <row r="29" spans="1:17" ht="15">
      <c r="A29" s="590"/>
      <c r="B29" s="408">
        <v>1</v>
      </c>
      <c r="C29" s="408" t="s">
        <v>0</v>
      </c>
      <c r="D29" s="405">
        <v>1</v>
      </c>
      <c r="E29" s="48">
        <f>D29/22</f>
        <v>0.045454545454545456</v>
      </c>
      <c r="F29" s="405">
        <f>66/D29</f>
        <v>66</v>
      </c>
      <c r="G29" s="405">
        <f>39/D29</f>
        <v>39</v>
      </c>
      <c r="H29" s="295">
        <f>G29/59</f>
        <v>0.6610169491525424</v>
      </c>
      <c r="I29" s="405">
        <v>0</v>
      </c>
      <c r="J29" s="65">
        <f>I29/D29</f>
        <v>0</v>
      </c>
      <c r="K29" s="405">
        <v>0</v>
      </c>
      <c r="L29" s="48">
        <v>0</v>
      </c>
      <c r="M29" s="405">
        <v>0</v>
      </c>
      <c r="N29" s="405">
        <v>0</v>
      </c>
      <c r="O29" s="63">
        <f aca="true" t="shared" si="2" ref="O29:O35">N29/D29</f>
        <v>0</v>
      </c>
      <c r="P29" s="70">
        <v>1</v>
      </c>
      <c r="Q29" s="305">
        <f aca="true" t="shared" si="3" ref="Q29:Q35">P29/D29</f>
        <v>1</v>
      </c>
    </row>
    <row r="30" spans="1:17" ht="15">
      <c r="A30" s="590"/>
      <c r="B30" s="408">
        <v>2</v>
      </c>
      <c r="C30" s="408" t="s">
        <v>1</v>
      </c>
      <c r="D30" s="405">
        <v>13</v>
      </c>
      <c r="E30" s="48">
        <f>D30/21</f>
        <v>0.6190476190476191</v>
      </c>
      <c r="F30" s="68">
        <f>771/D30</f>
        <v>59.30769230769231</v>
      </c>
      <c r="G30" s="68">
        <f>436/D30</f>
        <v>33.53846153846154</v>
      </c>
      <c r="H30" s="295">
        <f>G30/59</f>
        <v>0.5684485006518906</v>
      </c>
      <c r="I30" s="405">
        <v>0</v>
      </c>
      <c r="J30" s="65">
        <f>I30/D30</f>
        <v>0</v>
      </c>
      <c r="K30" s="405">
        <v>13</v>
      </c>
      <c r="L30" s="416">
        <f>K30/13</f>
        <v>1</v>
      </c>
      <c r="M30" s="68">
        <f>771/K30</f>
        <v>59.30769230769231</v>
      </c>
      <c r="N30" s="405">
        <v>0</v>
      </c>
      <c r="O30" s="295">
        <f t="shared" si="2"/>
        <v>0</v>
      </c>
      <c r="P30" s="70">
        <v>5</v>
      </c>
      <c r="Q30" s="295">
        <f t="shared" si="3"/>
        <v>0.38461538461538464</v>
      </c>
    </row>
    <row r="31" spans="1:17" ht="15">
      <c r="A31" s="590"/>
      <c r="B31" s="408">
        <v>3</v>
      </c>
      <c r="C31" s="408" t="s">
        <v>2</v>
      </c>
      <c r="D31" s="405">
        <v>3</v>
      </c>
      <c r="E31" s="48">
        <f>D31/27</f>
        <v>0.1111111111111111</v>
      </c>
      <c r="F31" s="68">
        <f>161/D31</f>
        <v>53.666666666666664</v>
      </c>
      <c r="G31" s="68">
        <f>88/D31</f>
        <v>29.333333333333332</v>
      </c>
      <c r="H31" s="295">
        <f>G31/59</f>
        <v>0.4971751412429378</v>
      </c>
      <c r="I31" s="105">
        <v>1</v>
      </c>
      <c r="J31" s="314">
        <f>I31/D31</f>
        <v>0.3333333333333333</v>
      </c>
      <c r="K31" s="405">
        <v>0</v>
      </c>
      <c r="L31" s="65">
        <f>K31/3</f>
        <v>0</v>
      </c>
      <c r="M31" s="94" t="e">
        <f>161/K31</f>
        <v>#DIV/0!</v>
      </c>
      <c r="N31" s="405">
        <v>0</v>
      </c>
      <c r="O31" s="295">
        <f t="shared" si="2"/>
        <v>0</v>
      </c>
      <c r="P31" s="70">
        <v>1</v>
      </c>
      <c r="Q31" s="295">
        <f t="shared" si="3"/>
        <v>0.3333333333333333</v>
      </c>
    </row>
    <row r="32" spans="1:17" ht="15">
      <c r="A32" s="590"/>
      <c r="B32" s="408">
        <v>4</v>
      </c>
      <c r="C32" s="408" t="s">
        <v>3</v>
      </c>
      <c r="D32" s="405">
        <v>4</v>
      </c>
      <c r="E32" s="48">
        <f>D32/26</f>
        <v>0.15384615384615385</v>
      </c>
      <c r="F32" s="405">
        <f>227/D32</f>
        <v>56.75</v>
      </c>
      <c r="G32" s="405">
        <f>125/D32</f>
        <v>31.25</v>
      </c>
      <c r="H32" s="295">
        <f>G32/59</f>
        <v>0.5296610169491526</v>
      </c>
      <c r="I32" s="405">
        <v>0</v>
      </c>
      <c r="J32" s="65">
        <f>I32/D32</f>
        <v>0</v>
      </c>
      <c r="K32" s="405">
        <v>4</v>
      </c>
      <c r="L32" s="65">
        <f>K32/7</f>
        <v>0.5714285714285714</v>
      </c>
      <c r="M32" s="405">
        <f>227/K32</f>
        <v>56.75</v>
      </c>
      <c r="N32" s="405">
        <v>0</v>
      </c>
      <c r="O32" s="295">
        <f t="shared" si="2"/>
        <v>0</v>
      </c>
      <c r="P32" s="70">
        <v>2</v>
      </c>
      <c r="Q32" s="295">
        <f t="shared" si="3"/>
        <v>0.5</v>
      </c>
    </row>
    <row r="33" spans="1:17" ht="30">
      <c r="A33" s="590"/>
      <c r="B33" s="408">
        <v>5</v>
      </c>
      <c r="C33" s="408" t="s">
        <v>4</v>
      </c>
      <c r="D33" s="405">
        <v>0</v>
      </c>
      <c r="E33" s="48">
        <f>D33/5</f>
        <v>0</v>
      </c>
      <c r="F33" s="405">
        <v>0</v>
      </c>
      <c r="G33" s="405">
        <v>0</v>
      </c>
      <c r="H33" s="405">
        <v>0</v>
      </c>
      <c r="I33" s="405"/>
      <c r="J33" s="65"/>
      <c r="K33" s="405"/>
      <c r="L33" s="405"/>
      <c r="M33" s="405"/>
      <c r="N33" s="405"/>
      <c r="O33" s="295" t="e">
        <f t="shared" si="2"/>
        <v>#DIV/0!</v>
      </c>
      <c r="P33" s="70">
        <v>0</v>
      </c>
      <c r="Q33" s="295" t="e">
        <f t="shared" si="3"/>
        <v>#DIV/0!</v>
      </c>
    </row>
    <row r="34" spans="1:17" ht="27.75" customHeight="1">
      <c r="A34" s="590"/>
      <c r="B34" s="408">
        <v>6</v>
      </c>
      <c r="C34" s="408" t="s">
        <v>5</v>
      </c>
      <c r="D34" s="405">
        <v>0</v>
      </c>
      <c r="E34" s="48">
        <f>D34/5</f>
        <v>0</v>
      </c>
      <c r="F34" s="405">
        <v>0</v>
      </c>
      <c r="G34" s="405">
        <v>0</v>
      </c>
      <c r="H34" s="295">
        <f>G34/61</f>
        <v>0</v>
      </c>
      <c r="I34" s="405">
        <v>0</v>
      </c>
      <c r="J34" s="65" t="e">
        <f>I34/D34</f>
        <v>#DIV/0!</v>
      </c>
      <c r="K34" s="405">
        <v>0</v>
      </c>
      <c r="L34" s="405">
        <v>0</v>
      </c>
      <c r="M34" s="405">
        <v>0</v>
      </c>
      <c r="N34" s="405">
        <v>0</v>
      </c>
      <c r="O34" s="295" t="e">
        <f t="shared" si="2"/>
        <v>#DIV/0!</v>
      </c>
      <c r="P34" s="70">
        <v>0</v>
      </c>
      <c r="Q34" s="295" t="e">
        <f t="shared" si="3"/>
        <v>#DIV/0!</v>
      </c>
    </row>
    <row r="35" spans="1:17" s="17" customFormat="1" ht="15">
      <c r="A35" s="590"/>
      <c r="B35" s="290"/>
      <c r="C35" s="290" t="s">
        <v>6</v>
      </c>
      <c r="D35" s="296">
        <f>SUM(D29:D34)</f>
        <v>21</v>
      </c>
      <c r="E35" s="171">
        <f>D35/100</f>
        <v>0.21</v>
      </c>
      <c r="F35" s="283">
        <f>1225/D35</f>
        <v>58.333333333333336</v>
      </c>
      <c r="G35" s="346">
        <f>688/D35</f>
        <v>32.76190476190476</v>
      </c>
      <c r="H35" s="298">
        <f>688/(D35*59)</f>
        <v>0.5552865213882163</v>
      </c>
      <c r="I35" s="296">
        <f>SUM(I29:I34)</f>
        <v>1</v>
      </c>
      <c r="J35" s="83">
        <f>I35/D35</f>
        <v>0.047619047619047616</v>
      </c>
      <c r="K35" s="296">
        <f>SUM(K29:K34)</f>
        <v>17</v>
      </c>
      <c r="L35" s="298">
        <f>K35/23</f>
        <v>0.7391304347826086</v>
      </c>
      <c r="M35" s="296">
        <f>1159/K35</f>
        <v>68.17647058823529</v>
      </c>
      <c r="N35" s="296">
        <f>SUM(N29:N34)</f>
        <v>0</v>
      </c>
      <c r="O35" s="298">
        <f t="shared" si="2"/>
        <v>0</v>
      </c>
      <c r="P35" s="269">
        <f>SUM(P29:P34)</f>
        <v>9</v>
      </c>
      <c r="Q35" s="295">
        <f t="shared" si="3"/>
        <v>0.42857142857142855</v>
      </c>
    </row>
    <row r="36" spans="1:17" s="22" customFormat="1" ht="15">
      <c r="A36" s="590"/>
      <c r="B36" s="290"/>
      <c r="C36" s="290" t="s">
        <v>22</v>
      </c>
      <c r="D36" s="296"/>
      <c r="E36" s="296"/>
      <c r="F36" s="296">
        <v>57</v>
      </c>
      <c r="G36" s="296"/>
      <c r="H36" s="296"/>
      <c r="I36" s="296"/>
      <c r="J36" s="296"/>
      <c r="K36" s="296"/>
      <c r="L36" s="296"/>
      <c r="M36" s="296"/>
      <c r="N36" s="296"/>
      <c r="O36" s="298"/>
      <c r="P36" s="296"/>
      <c r="Q36" s="296"/>
    </row>
    <row r="37" spans="1:17" ht="15">
      <c r="A37" s="407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P37" s="407"/>
      <c r="Q37" s="407"/>
    </row>
    <row r="38" spans="2:13" ht="15">
      <c r="B38" s="588" t="s">
        <v>155</v>
      </c>
      <c r="C38" s="589"/>
      <c r="D38" s="589"/>
      <c r="E38" s="589"/>
      <c r="F38" s="589"/>
      <c r="G38" s="589"/>
      <c r="H38" s="589"/>
      <c r="I38" s="589"/>
      <c r="J38" s="589"/>
      <c r="K38" s="589"/>
      <c r="L38" s="589"/>
      <c r="M38" s="589"/>
    </row>
    <row r="39" spans="1:17" ht="15">
      <c r="A39" s="590" t="s">
        <v>140</v>
      </c>
      <c r="B39" s="289"/>
      <c r="C39" s="289"/>
      <c r="D39" s="590" t="s">
        <v>7</v>
      </c>
      <c r="E39" s="590"/>
      <c r="F39" s="590" t="s">
        <v>39</v>
      </c>
      <c r="G39" s="592" t="s">
        <v>57</v>
      </c>
      <c r="H39" s="592" t="s">
        <v>174</v>
      </c>
      <c r="I39" s="590" t="s">
        <v>9</v>
      </c>
      <c r="J39" s="590"/>
      <c r="K39" s="590" t="s">
        <v>13</v>
      </c>
      <c r="L39" s="590"/>
      <c r="M39" s="590"/>
      <c r="N39" s="599" t="s">
        <v>127</v>
      </c>
      <c r="O39" s="599"/>
      <c r="P39" s="587" t="s">
        <v>178</v>
      </c>
      <c r="Q39" s="587"/>
    </row>
    <row r="40" spans="1:17" ht="195">
      <c r="A40" s="590"/>
      <c r="B40" s="289"/>
      <c r="C40" s="289"/>
      <c r="D40" s="289" t="s">
        <v>8</v>
      </c>
      <c r="E40" s="289" t="s">
        <v>11</v>
      </c>
      <c r="F40" s="590"/>
      <c r="G40" s="593"/>
      <c r="H40" s="593"/>
      <c r="I40" s="289" t="s">
        <v>8</v>
      </c>
      <c r="J40" s="289" t="s">
        <v>10</v>
      </c>
      <c r="K40" s="289" t="s">
        <v>14</v>
      </c>
      <c r="L40" s="289" t="s">
        <v>12</v>
      </c>
      <c r="M40" s="289" t="s">
        <v>15</v>
      </c>
      <c r="N40" s="275" t="s">
        <v>8</v>
      </c>
      <c r="O40" s="275" t="s">
        <v>10</v>
      </c>
      <c r="P40" s="293" t="s">
        <v>8</v>
      </c>
      <c r="Q40" s="293" t="s">
        <v>10</v>
      </c>
    </row>
    <row r="41" spans="1:17" ht="15">
      <c r="A41" s="590"/>
      <c r="B41" s="289">
        <v>1</v>
      </c>
      <c r="C41" s="289" t="s">
        <v>0</v>
      </c>
      <c r="D41" s="289">
        <v>5</v>
      </c>
      <c r="E41" s="291">
        <f>D41/51</f>
        <v>0.09803921568627451</v>
      </c>
      <c r="F41" s="289">
        <f>332/D41</f>
        <v>66.4</v>
      </c>
      <c r="G41" s="289">
        <f>195/D41</f>
        <v>39</v>
      </c>
      <c r="H41" s="8">
        <f>G41/59</f>
        <v>0.6610169491525424</v>
      </c>
      <c r="I41" s="289">
        <v>0</v>
      </c>
      <c r="J41" s="276">
        <f>I41/D41</f>
        <v>0</v>
      </c>
      <c r="K41" s="289">
        <v>0</v>
      </c>
      <c r="L41" s="291">
        <v>0</v>
      </c>
      <c r="M41" s="289">
        <v>0</v>
      </c>
      <c r="N41" s="275">
        <v>0</v>
      </c>
      <c r="O41" s="85">
        <f aca="true" t="shared" si="4" ref="O41:O47">N41/D41</f>
        <v>0</v>
      </c>
      <c r="P41" s="70">
        <v>4</v>
      </c>
      <c r="Q41" s="295">
        <f>P41/D41</f>
        <v>0.8</v>
      </c>
    </row>
    <row r="42" spans="1:17" ht="15">
      <c r="A42" s="590"/>
      <c r="B42" s="289">
        <v>2</v>
      </c>
      <c r="C42" s="289" t="s">
        <v>1</v>
      </c>
      <c r="D42" s="289">
        <v>5</v>
      </c>
      <c r="E42" s="291">
        <f>D42/19</f>
        <v>0.2631578947368421</v>
      </c>
      <c r="F42" s="285">
        <f>287/D42</f>
        <v>57.4</v>
      </c>
      <c r="G42" s="277">
        <f>160/D42</f>
        <v>32</v>
      </c>
      <c r="H42" s="8">
        <f>G42/59</f>
        <v>0.5423728813559322</v>
      </c>
      <c r="I42" s="289">
        <v>0</v>
      </c>
      <c r="J42" s="276">
        <f>I42/D42</f>
        <v>0</v>
      </c>
      <c r="K42" s="289">
        <v>5</v>
      </c>
      <c r="L42" s="276">
        <f>K42/7</f>
        <v>0.7142857142857143</v>
      </c>
      <c r="M42" s="289">
        <v>57.4</v>
      </c>
      <c r="N42" s="275">
        <v>0</v>
      </c>
      <c r="O42" s="43">
        <f t="shared" si="4"/>
        <v>0</v>
      </c>
      <c r="P42" s="70">
        <v>2</v>
      </c>
      <c r="Q42" s="295">
        <f aca="true" t="shared" si="5" ref="Q42:Q47">P42/D42</f>
        <v>0.4</v>
      </c>
    </row>
    <row r="43" spans="1:17" ht="15">
      <c r="A43" s="590"/>
      <c r="B43" s="289">
        <v>3</v>
      </c>
      <c r="C43" s="289" t="s">
        <v>2</v>
      </c>
      <c r="D43" s="289">
        <v>3</v>
      </c>
      <c r="E43" s="291">
        <f>D43/26</f>
        <v>0.11538461538461539</v>
      </c>
      <c r="F43" s="105">
        <f>96/D43</f>
        <v>32</v>
      </c>
      <c r="G43" s="289">
        <f>45/D43</f>
        <v>15</v>
      </c>
      <c r="H43" s="8">
        <f>G43/59</f>
        <v>0.2542372881355932</v>
      </c>
      <c r="I43" s="289">
        <v>1</v>
      </c>
      <c r="J43" s="276">
        <f>I43/D43</f>
        <v>0.3333333333333333</v>
      </c>
      <c r="K43" s="289">
        <v>0</v>
      </c>
      <c r="L43" s="291">
        <v>0</v>
      </c>
      <c r="M43" s="11">
        <v>0</v>
      </c>
      <c r="N43" s="275">
        <v>0</v>
      </c>
      <c r="O43" s="43">
        <f t="shared" si="4"/>
        <v>0</v>
      </c>
      <c r="P43" s="70">
        <v>0</v>
      </c>
      <c r="Q43" s="295">
        <f t="shared" si="5"/>
        <v>0</v>
      </c>
    </row>
    <row r="44" spans="1:17" ht="15">
      <c r="A44" s="590"/>
      <c r="B44" s="289">
        <v>4</v>
      </c>
      <c r="C44" s="289" t="s">
        <v>3</v>
      </c>
      <c r="D44" s="289">
        <v>4</v>
      </c>
      <c r="E44" s="291">
        <f>D44/25</f>
        <v>0.16</v>
      </c>
      <c r="F44" s="121">
        <f>253/D44</f>
        <v>63.25</v>
      </c>
      <c r="G44" s="289">
        <f>146/D44</f>
        <v>36.5</v>
      </c>
      <c r="H44" s="8">
        <f>G44/59</f>
        <v>0.6186440677966102</v>
      </c>
      <c r="I44" s="289">
        <v>0</v>
      </c>
      <c r="J44" s="276">
        <f>I44/D44</f>
        <v>0</v>
      </c>
      <c r="K44" s="289">
        <v>4</v>
      </c>
      <c r="L44" s="276">
        <f>K44/7</f>
        <v>0.5714285714285714</v>
      </c>
      <c r="M44" s="289">
        <v>63.25</v>
      </c>
      <c r="N44" s="275">
        <v>1</v>
      </c>
      <c r="O44" s="43">
        <f t="shared" si="4"/>
        <v>0.25</v>
      </c>
      <c r="P44" s="70">
        <v>2</v>
      </c>
      <c r="Q44" s="295">
        <f t="shared" si="5"/>
        <v>0.5</v>
      </c>
    </row>
    <row r="45" spans="1:17" ht="30">
      <c r="A45" s="590"/>
      <c r="B45" s="289">
        <v>5</v>
      </c>
      <c r="C45" s="289" t="s">
        <v>4</v>
      </c>
      <c r="D45" s="289">
        <v>0</v>
      </c>
      <c r="E45" s="291">
        <f>D45/5</f>
        <v>0</v>
      </c>
      <c r="F45" s="289">
        <v>0</v>
      </c>
      <c r="G45" s="289">
        <v>0</v>
      </c>
      <c r="H45" s="289">
        <v>0</v>
      </c>
      <c r="I45" s="289"/>
      <c r="J45" s="276"/>
      <c r="K45" s="289"/>
      <c r="L45" s="289"/>
      <c r="M45" s="289"/>
      <c r="N45" s="275"/>
      <c r="O45" s="43" t="e">
        <f t="shared" si="4"/>
        <v>#DIV/0!</v>
      </c>
      <c r="P45" s="70">
        <v>0</v>
      </c>
      <c r="Q45" s="295" t="e">
        <f t="shared" si="5"/>
        <v>#DIV/0!</v>
      </c>
    </row>
    <row r="46" spans="1:17" ht="30">
      <c r="A46" s="590"/>
      <c r="B46" s="289">
        <v>6</v>
      </c>
      <c r="C46" s="289" t="s">
        <v>5</v>
      </c>
      <c r="D46" s="289">
        <v>0</v>
      </c>
      <c r="E46" s="291">
        <f>D46/5</f>
        <v>0</v>
      </c>
      <c r="F46" s="289">
        <v>0</v>
      </c>
      <c r="G46" s="289">
        <v>0</v>
      </c>
      <c r="H46" s="8">
        <f>G46/61</f>
        <v>0</v>
      </c>
      <c r="I46" s="289">
        <v>0</v>
      </c>
      <c r="J46" s="276" t="e">
        <f>I46/D46</f>
        <v>#DIV/0!</v>
      </c>
      <c r="K46" s="289">
        <v>0</v>
      </c>
      <c r="L46" s="289">
        <v>0</v>
      </c>
      <c r="M46" s="289">
        <v>0</v>
      </c>
      <c r="N46" s="275">
        <v>0</v>
      </c>
      <c r="O46" s="43" t="e">
        <f t="shared" si="4"/>
        <v>#DIV/0!</v>
      </c>
      <c r="P46" s="70">
        <v>0</v>
      </c>
      <c r="Q46" s="295" t="e">
        <f t="shared" si="5"/>
        <v>#DIV/0!</v>
      </c>
    </row>
    <row r="47" spans="1:17" ht="15">
      <c r="A47" s="590"/>
      <c r="B47" s="290"/>
      <c r="C47" s="290" t="s">
        <v>6</v>
      </c>
      <c r="D47" s="290">
        <f>SUM(D41:D46)</f>
        <v>17</v>
      </c>
      <c r="E47" s="292">
        <f>D47/107</f>
        <v>0.1588785046728972</v>
      </c>
      <c r="F47" s="283">
        <f>968/D47</f>
        <v>56.94117647058823</v>
      </c>
      <c r="G47" s="21">
        <f>546/D47</f>
        <v>32.11764705882353</v>
      </c>
      <c r="H47" s="9">
        <f>546/(D47*59)</f>
        <v>0.5443668993020937</v>
      </c>
      <c r="I47" s="290">
        <f>SUM(I41:I46)</f>
        <v>1</v>
      </c>
      <c r="J47" s="301">
        <f>I47/D47</f>
        <v>0.058823529411764705</v>
      </c>
      <c r="K47" s="290">
        <f>SUM(K41:K46)</f>
        <v>9</v>
      </c>
      <c r="L47" s="302">
        <f>K47/14</f>
        <v>0.6428571428571429</v>
      </c>
      <c r="M47" s="281">
        <f>540/K47</f>
        <v>60</v>
      </c>
      <c r="N47" s="44">
        <f>SUM(N41:N46)</f>
        <v>1</v>
      </c>
      <c r="O47" s="323">
        <f t="shared" si="4"/>
        <v>0.058823529411764705</v>
      </c>
      <c r="P47" s="303">
        <f>SUM(P41:P46)</f>
        <v>8</v>
      </c>
      <c r="Q47" s="305">
        <f t="shared" si="5"/>
        <v>0.47058823529411764</v>
      </c>
    </row>
    <row r="48" spans="1:17" ht="15">
      <c r="A48" s="590"/>
      <c r="B48" s="290"/>
      <c r="C48" s="290" t="s">
        <v>22</v>
      </c>
      <c r="D48" s="290"/>
      <c r="E48" s="290"/>
      <c r="F48" s="290">
        <v>55.31</v>
      </c>
      <c r="G48" s="290"/>
      <c r="H48" s="290"/>
      <c r="I48" s="290"/>
      <c r="J48" s="290"/>
      <c r="K48" s="290"/>
      <c r="L48" s="290"/>
      <c r="M48" s="290"/>
      <c r="N48" s="44"/>
      <c r="O48" s="86"/>
      <c r="P48" s="296"/>
      <c r="Q48" s="296"/>
    </row>
    <row r="49" spans="1:17" ht="15">
      <c r="A49" s="598" t="s">
        <v>138</v>
      </c>
      <c r="B49" s="19"/>
      <c r="C49" s="19"/>
      <c r="D49" s="590" t="s">
        <v>7</v>
      </c>
      <c r="E49" s="590"/>
      <c r="F49" s="590" t="s">
        <v>39</v>
      </c>
      <c r="G49" s="592" t="s">
        <v>57</v>
      </c>
      <c r="H49" s="592" t="s">
        <v>58</v>
      </c>
      <c r="I49" s="590" t="s">
        <v>9</v>
      </c>
      <c r="J49" s="590"/>
      <c r="K49" s="590" t="s">
        <v>13</v>
      </c>
      <c r="L49" s="590"/>
      <c r="M49" s="590"/>
      <c r="N49" s="599" t="s">
        <v>127</v>
      </c>
      <c r="O49" s="599"/>
      <c r="P49" s="587" t="s">
        <v>133</v>
      </c>
      <c r="Q49" s="587"/>
    </row>
    <row r="50" spans="1:17" ht="195">
      <c r="A50" s="590"/>
      <c r="B50" s="19"/>
      <c r="C50" s="19"/>
      <c r="D50" s="19" t="s">
        <v>8</v>
      </c>
      <c r="E50" s="19" t="s">
        <v>11</v>
      </c>
      <c r="F50" s="590"/>
      <c r="G50" s="593"/>
      <c r="H50" s="593"/>
      <c r="I50" s="19" t="s">
        <v>8</v>
      </c>
      <c r="J50" s="19" t="s">
        <v>10</v>
      </c>
      <c r="K50" s="19" t="s">
        <v>14</v>
      </c>
      <c r="L50" s="19" t="s">
        <v>12</v>
      </c>
      <c r="M50" s="19" t="s">
        <v>15</v>
      </c>
      <c r="N50" s="80" t="s">
        <v>8</v>
      </c>
      <c r="O50" s="80" t="s">
        <v>10</v>
      </c>
      <c r="P50" s="293" t="s">
        <v>8</v>
      </c>
      <c r="Q50" s="293" t="s">
        <v>10</v>
      </c>
    </row>
    <row r="51" spans="1:17" ht="15">
      <c r="A51" s="590"/>
      <c r="B51" s="19">
        <v>1</v>
      </c>
      <c r="C51" s="19" t="s">
        <v>0</v>
      </c>
      <c r="D51" s="19">
        <v>0</v>
      </c>
      <c r="E51" s="7">
        <f>D51/27</f>
        <v>0</v>
      </c>
      <c r="F51" s="19">
        <v>0</v>
      </c>
      <c r="G51" s="77">
        <v>0</v>
      </c>
      <c r="H51" s="77">
        <v>0</v>
      </c>
      <c r="I51" s="19"/>
      <c r="J51" s="12" t="e">
        <f>I51/D51</f>
        <v>#DIV/0!</v>
      </c>
      <c r="K51" s="5">
        <v>0</v>
      </c>
      <c r="L51" s="7">
        <v>0</v>
      </c>
      <c r="M51" s="5">
        <v>0</v>
      </c>
      <c r="N51" s="80">
        <v>0</v>
      </c>
      <c r="O51" s="85" t="e">
        <f aca="true" t="shared" si="6" ref="O51:O57">N51/D51</f>
        <v>#DIV/0!</v>
      </c>
      <c r="P51" s="70">
        <v>0</v>
      </c>
      <c r="Q51" s="295" t="e">
        <f>P51/H51</f>
        <v>#DIV/0!</v>
      </c>
    </row>
    <row r="52" spans="1:17" ht="15">
      <c r="A52" s="590"/>
      <c r="B52" s="19">
        <v>2</v>
      </c>
      <c r="C52" s="19" t="s">
        <v>1</v>
      </c>
      <c r="D52" s="19">
        <v>6</v>
      </c>
      <c r="E52" s="7">
        <f>D52/20</f>
        <v>0.3</v>
      </c>
      <c r="F52" s="156">
        <f>404/D52</f>
        <v>67.33333333333333</v>
      </c>
      <c r="G52" s="156">
        <f>239/D52</f>
        <v>39.833333333333336</v>
      </c>
      <c r="H52" s="8">
        <f>G52/61</f>
        <v>0.6530054644808744</v>
      </c>
      <c r="I52" s="19">
        <v>1</v>
      </c>
      <c r="J52" s="12">
        <f>I52/D52</f>
        <v>0.16666666666666666</v>
      </c>
      <c r="K52" s="19">
        <v>6</v>
      </c>
      <c r="L52" s="12">
        <f>K52/9</f>
        <v>0.6666666666666666</v>
      </c>
      <c r="M52" s="19">
        <v>67.3</v>
      </c>
      <c r="N52" s="80">
        <v>2</v>
      </c>
      <c r="O52" s="43">
        <f t="shared" si="6"/>
        <v>0.3333333333333333</v>
      </c>
      <c r="P52" s="70">
        <v>5</v>
      </c>
      <c r="Q52" s="295">
        <f>P52/D52</f>
        <v>0.8333333333333334</v>
      </c>
    </row>
    <row r="53" spans="1:17" ht="15">
      <c r="A53" s="590"/>
      <c r="B53" s="19">
        <v>3</v>
      </c>
      <c r="C53" s="19" t="s">
        <v>2</v>
      </c>
      <c r="D53" s="19">
        <v>2</v>
      </c>
      <c r="E53" s="7">
        <f>D53/27</f>
        <v>0.07407407407407407</v>
      </c>
      <c r="F53" s="19">
        <f>66/D53</f>
        <v>33</v>
      </c>
      <c r="G53" s="77">
        <f>31/D53</f>
        <v>15.5</v>
      </c>
      <c r="H53" s="8">
        <f>G53/61</f>
        <v>0.2540983606557377</v>
      </c>
      <c r="I53" s="19">
        <v>1</v>
      </c>
      <c r="J53" s="12">
        <f>I53/D53</f>
        <v>0.5</v>
      </c>
      <c r="K53" s="19">
        <v>0</v>
      </c>
      <c r="L53" s="7">
        <v>0</v>
      </c>
      <c r="M53" s="11">
        <v>0</v>
      </c>
      <c r="N53" s="80">
        <v>0</v>
      </c>
      <c r="O53" s="43">
        <f t="shared" si="6"/>
        <v>0</v>
      </c>
      <c r="P53" s="70">
        <v>0</v>
      </c>
      <c r="Q53" s="295">
        <f>P53/H53</f>
        <v>0</v>
      </c>
    </row>
    <row r="54" spans="1:17" ht="15">
      <c r="A54" s="590"/>
      <c r="B54" s="19">
        <v>4</v>
      </c>
      <c r="C54" s="19" t="s">
        <v>3</v>
      </c>
      <c r="D54" s="19">
        <v>4</v>
      </c>
      <c r="E54" s="7">
        <f>D54/28</f>
        <v>0.14285714285714285</v>
      </c>
      <c r="F54" s="19">
        <f>173/D54</f>
        <v>43.25</v>
      </c>
      <c r="G54" s="77">
        <f>92/D54</f>
        <v>23</v>
      </c>
      <c r="H54" s="8">
        <f>G54/61</f>
        <v>0.3770491803278688</v>
      </c>
      <c r="I54" s="19">
        <v>1</v>
      </c>
      <c r="J54" s="12">
        <f>I54/D54</f>
        <v>0.25</v>
      </c>
      <c r="K54" s="19">
        <v>4</v>
      </c>
      <c r="L54" s="12">
        <f>K54/16</f>
        <v>0.25</v>
      </c>
      <c r="M54" s="19">
        <v>43.25</v>
      </c>
      <c r="N54" s="80">
        <v>0</v>
      </c>
      <c r="O54" s="43">
        <f t="shared" si="6"/>
        <v>0</v>
      </c>
      <c r="P54" s="70">
        <v>0</v>
      </c>
      <c r="Q54" s="63">
        <v>0</v>
      </c>
    </row>
    <row r="55" spans="1:17" ht="30">
      <c r="A55" s="590"/>
      <c r="B55" s="19">
        <v>5</v>
      </c>
      <c r="C55" s="19" t="s">
        <v>4</v>
      </c>
      <c r="D55" s="19">
        <v>0</v>
      </c>
      <c r="E55" s="7">
        <f>D55/5</f>
        <v>0</v>
      </c>
      <c r="F55" s="19">
        <v>0</v>
      </c>
      <c r="G55" s="77">
        <v>0</v>
      </c>
      <c r="H55" s="77">
        <v>0</v>
      </c>
      <c r="I55" s="19"/>
      <c r="J55" s="12"/>
      <c r="K55" s="19"/>
      <c r="L55" s="19"/>
      <c r="M55" s="19"/>
      <c r="N55" s="80"/>
      <c r="O55" s="43" t="e">
        <f t="shared" si="6"/>
        <v>#DIV/0!</v>
      </c>
      <c r="P55" s="70" t="e">
        <f>SUM(N55:O55)</f>
        <v>#DIV/0!</v>
      </c>
      <c r="Q55" s="295"/>
    </row>
    <row r="56" spans="1:17" ht="30">
      <c r="A56" s="590"/>
      <c r="B56" s="19">
        <v>6</v>
      </c>
      <c r="C56" s="19" t="s">
        <v>5</v>
      </c>
      <c r="D56" s="19">
        <v>1</v>
      </c>
      <c r="E56" s="7">
        <f>D56/5</f>
        <v>0.2</v>
      </c>
      <c r="F56" s="19">
        <v>44</v>
      </c>
      <c r="G56" s="77">
        <v>22</v>
      </c>
      <c r="H56" s="8">
        <f>G56/61</f>
        <v>0.36065573770491804</v>
      </c>
      <c r="I56" s="19">
        <v>0</v>
      </c>
      <c r="J56" s="12">
        <f>I56/D56</f>
        <v>0</v>
      </c>
      <c r="K56" s="19">
        <v>0</v>
      </c>
      <c r="L56" s="19">
        <v>0</v>
      </c>
      <c r="M56" s="19">
        <v>0</v>
      </c>
      <c r="N56" s="80">
        <v>0</v>
      </c>
      <c r="O56" s="43">
        <f t="shared" si="6"/>
        <v>0</v>
      </c>
      <c r="P56" s="70">
        <f>SUM(N56:O56)</f>
        <v>0</v>
      </c>
      <c r="Q56" s="295"/>
    </row>
    <row r="57" spans="1:17" ht="15">
      <c r="A57" s="590"/>
      <c r="B57" s="6"/>
      <c r="C57" s="6" t="s">
        <v>6</v>
      </c>
      <c r="D57" s="6">
        <f>SUM(D51:D56)</f>
        <v>13</v>
      </c>
      <c r="E57" s="10">
        <f>D57/107</f>
        <v>0.12149532710280374</v>
      </c>
      <c r="F57" s="21">
        <f>687/D57</f>
        <v>52.84615384615385</v>
      </c>
      <c r="G57" s="21">
        <f>384/D57</f>
        <v>29.53846153846154</v>
      </c>
      <c r="H57" s="9">
        <f>384/(D57*61)</f>
        <v>0.4842370744010088</v>
      </c>
      <c r="I57" s="6">
        <f>SUM(I51:I56)</f>
        <v>3</v>
      </c>
      <c r="J57" s="13">
        <f>I57/D57</f>
        <v>0.23076923076923078</v>
      </c>
      <c r="K57" s="6">
        <f>SUM(K51:K56)</f>
        <v>10</v>
      </c>
      <c r="L57" s="9">
        <f>K57/25</f>
        <v>0.4</v>
      </c>
      <c r="M57" s="6">
        <f>577/K57</f>
        <v>57.7</v>
      </c>
      <c r="N57" s="44">
        <f>SUM(N51:N56)</f>
        <v>2</v>
      </c>
      <c r="O57" s="86">
        <f t="shared" si="6"/>
        <v>0.15384615384615385</v>
      </c>
      <c r="P57" s="269">
        <v>5</v>
      </c>
      <c r="Q57" s="295">
        <f>P57/D57</f>
        <v>0.38461538461538464</v>
      </c>
    </row>
    <row r="58" spans="1:17" ht="15">
      <c r="A58" s="590"/>
      <c r="B58" s="6"/>
      <c r="C58" s="6" t="s">
        <v>22</v>
      </c>
      <c r="D58" s="6"/>
      <c r="E58" s="6"/>
      <c r="F58" s="6">
        <v>57.45</v>
      </c>
      <c r="G58" s="6"/>
      <c r="H58" s="6"/>
      <c r="I58" s="6"/>
      <c r="J58" s="6"/>
      <c r="K58" s="6"/>
      <c r="L58" s="6"/>
      <c r="M58" s="6"/>
      <c r="N58" s="44"/>
      <c r="O58" s="86">
        <v>0.069</v>
      </c>
      <c r="P58" s="296"/>
      <c r="Q58" s="296">
        <v>49.26</v>
      </c>
    </row>
  </sheetData>
  <sheetProtection/>
  <mergeCells count="170">
    <mergeCell ref="R2:S2"/>
    <mergeCell ref="N15:O15"/>
    <mergeCell ref="P15:Q15"/>
    <mergeCell ref="B14:M14"/>
    <mergeCell ref="A15:A24"/>
    <mergeCell ref="D15:E15"/>
    <mergeCell ref="F15:F16"/>
    <mergeCell ref="G15:G16"/>
    <mergeCell ref="H15:H16"/>
    <mergeCell ref="I15:J15"/>
    <mergeCell ref="K15:M15"/>
    <mergeCell ref="N27:O27"/>
    <mergeCell ref="P27:Q27"/>
    <mergeCell ref="B26:M26"/>
    <mergeCell ref="A27:A36"/>
    <mergeCell ref="D27:E27"/>
    <mergeCell ref="F27:F28"/>
    <mergeCell ref="G27:G28"/>
    <mergeCell ref="H27:H28"/>
    <mergeCell ref="I27:J27"/>
    <mergeCell ref="K27:M27"/>
    <mergeCell ref="P49:Q49"/>
    <mergeCell ref="N49:O49"/>
    <mergeCell ref="B38:M38"/>
    <mergeCell ref="D49:E49"/>
    <mergeCell ref="F49:F50"/>
    <mergeCell ref="I49:J49"/>
    <mergeCell ref="K49:M49"/>
    <mergeCell ref="G49:G50"/>
    <mergeCell ref="H49:H50"/>
    <mergeCell ref="D39:E39"/>
    <mergeCell ref="F39:F40"/>
    <mergeCell ref="G39:G40"/>
    <mergeCell ref="H39:H40"/>
    <mergeCell ref="I39:J39"/>
    <mergeCell ref="K39:M39"/>
    <mergeCell ref="N39:O39"/>
    <mergeCell ref="P39:Q39"/>
    <mergeCell ref="S17:T17"/>
    <mergeCell ref="U17:U18"/>
    <mergeCell ref="V17:V18"/>
    <mergeCell ref="W17:W18"/>
    <mergeCell ref="X17:Y17"/>
    <mergeCell ref="Z17:AB17"/>
    <mergeCell ref="AC17:AD17"/>
    <mergeCell ref="AE17:AF17"/>
    <mergeCell ref="AI17:AJ17"/>
    <mergeCell ref="AK17:AK18"/>
    <mergeCell ref="AL17:AL18"/>
    <mergeCell ref="AM17:AM18"/>
    <mergeCell ref="AN17:AO17"/>
    <mergeCell ref="AP17:AR17"/>
    <mergeCell ref="AS17:AT17"/>
    <mergeCell ref="AU17:AV17"/>
    <mergeCell ref="AY17:AZ17"/>
    <mergeCell ref="BA17:BA18"/>
    <mergeCell ref="BB17:BB18"/>
    <mergeCell ref="BC17:BC18"/>
    <mergeCell ref="BD17:BE17"/>
    <mergeCell ref="BF17:BH17"/>
    <mergeCell ref="BI17:BJ17"/>
    <mergeCell ref="BK17:BL17"/>
    <mergeCell ref="BO17:BP17"/>
    <mergeCell ref="BQ17:BQ18"/>
    <mergeCell ref="BR17:BR18"/>
    <mergeCell ref="BS17:BS18"/>
    <mergeCell ref="BT17:BU17"/>
    <mergeCell ref="BV17:BX17"/>
    <mergeCell ref="BY17:BZ17"/>
    <mergeCell ref="CA17:CB17"/>
    <mergeCell ref="CE17:CF17"/>
    <mergeCell ref="CG17:CG18"/>
    <mergeCell ref="CH17:CH18"/>
    <mergeCell ref="CI17:CI18"/>
    <mergeCell ref="CJ17:CK17"/>
    <mergeCell ref="CL17:CN17"/>
    <mergeCell ref="CO17:CP17"/>
    <mergeCell ref="CQ17:CR17"/>
    <mergeCell ref="CU17:CV17"/>
    <mergeCell ref="CW17:CW18"/>
    <mergeCell ref="CX17:CX18"/>
    <mergeCell ref="CY17:CY18"/>
    <mergeCell ref="CZ17:DA17"/>
    <mergeCell ref="DB17:DD17"/>
    <mergeCell ref="DE17:DF17"/>
    <mergeCell ref="DG17:DH17"/>
    <mergeCell ref="DK17:DL17"/>
    <mergeCell ref="DM17:DM18"/>
    <mergeCell ref="DN17:DN18"/>
    <mergeCell ref="DO17:DO18"/>
    <mergeCell ref="DP17:DQ17"/>
    <mergeCell ref="DR17:DT17"/>
    <mergeCell ref="DU17:DV17"/>
    <mergeCell ref="DW17:DX17"/>
    <mergeCell ref="EA17:EB17"/>
    <mergeCell ref="EC17:EC18"/>
    <mergeCell ref="ED17:ED18"/>
    <mergeCell ref="EE17:EE18"/>
    <mergeCell ref="EF17:EG17"/>
    <mergeCell ref="EH17:EJ17"/>
    <mergeCell ref="EK17:EL17"/>
    <mergeCell ref="EM17:EN17"/>
    <mergeCell ref="EQ17:ER17"/>
    <mergeCell ref="ES17:ES18"/>
    <mergeCell ref="ET17:ET18"/>
    <mergeCell ref="EU17:EU18"/>
    <mergeCell ref="EV17:EW17"/>
    <mergeCell ref="EX17:EZ17"/>
    <mergeCell ref="FA17:FB17"/>
    <mergeCell ref="FC17:FD17"/>
    <mergeCell ref="FG17:FH17"/>
    <mergeCell ref="FI17:FI18"/>
    <mergeCell ref="FJ17:FJ18"/>
    <mergeCell ref="FK17:FK18"/>
    <mergeCell ref="FL17:FM17"/>
    <mergeCell ref="FN17:FP17"/>
    <mergeCell ref="FQ17:FR17"/>
    <mergeCell ref="FS17:FT17"/>
    <mergeCell ref="FW17:FX17"/>
    <mergeCell ref="FY17:FY18"/>
    <mergeCell ref="FZ17:FZ18"/>
    <mergeCell ref="GA17:GA18"/>
    <mergeCell ref="GB17:GC17"/>
    <mergeCell ref="GD17:GF17"/>
    <mergeCell ref="GG17:GH17"/>
    <mergeCell ref="GI17:GJ17"/>
    <mergeCell ref="GM17:GN17"/>
    <mergeCell ref="GO17:GO18"/>
    <mergeCell ref="GP17:GP18"/>
    <mergeCell ref="GQ17:GQ18"/>
    <mergeCell ref="GR17:GS17"/>
    <mergeCell ref="GT17:GV17"/>
    <mergeCell ref="GW17:GX17"/>
    <mergeCell ref="HV17:HV18"/>
    <mergeCell ref="GY17:GZ17"/>
    <mergeCell ref="HC17:HD17"/>
    <mergeCell ref="HE17:HE18"/>
    <mergeCell ref="HF17:HF18"/>
    <mergeCell ref="HG17:HG18"/>
    <mergeCell ref="HH17:HI17"/>
    <mergeCell ref="HX17:HY17"/>
    <mergeCell ref="HZ17:IB17"/>
    <mergeCell ref="IC17:ID17"/>
    <mergeCell ref="IE17:IF17"/>
    <mergeCell ref="IS17:IT17"/>
    <mergeCell ref="HJ17:HL17"/>
    <mergeCell ref="HM17:HN17"/>
    <mergeCell ref="HO17:HP17"/>
    <mergeCell ref="HS17:HT17"/>
    <mergeCell ref="HU17:HU18"/>
    <mergeCell ref="IU17:IV17"/>
    <mergeCell ref="A39:A48"/>
    <mergeCell ref="A49:A58"/>
    <mergeCell ref="II17:IJ17"/>
    <mergeCell ref="IK17:IK18"/>
    <mergeCell ref="IL17:IL18"/>
    <mergeCell ref="IM17:IM18"/>
    <mergeCell ref="IN17:IO17"/>
    <mergeCell ref="IP17:IR17"/>
    <mergeCell ref="HW17:HW18"/>
    <mergeCell ref="N2:O2"/>
    <mergeCell ref="P2:Q2"/>
    <mergeCell ref="B1:M1"/>
    <mergeCell ref="A2:A11"/>
    <mergeCell ref="D2:E2"/>
    <mergeCell ref="F2:F3"/>
    <mergeCell ref="G2:G3"/>
    <mergeCell ref="H2:H3"/>
    <mergeCell ref="I2:J2"/>
    <mergeCell ref="K2:M2"/>
  </mergeCells>
  <printOptions/>
  <pageMargins left="0.7" right="0.7" top="0.75" bottom="0.75" header="0.3" footer="0.3"/>
  <pageSetup horizontalDpi="600" verticalDpi="600" orientation="landscape" paperSize="9" scale="58" r:id="rId1"/>
  <rowBreaks count="2" manualBreakCount="2">
    <brk id="25" max="255" man="1"/>
    <brk id="37" max="255" man="1"/>
  </rowBreaks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C58"/>
  <sheetViews>
    <sheetView view="pageBreakPreview" zoomScale="80" zoomScaleSheetLayoutView="80" zoomScalePageLayoutView="0" workbookViewId="0" topLeftCell="A1">
      <selection activeCell="G8" sqref="G8"/>
    </sheetView>
  </sheetViews>
  <sheetFormatPr defaultColWidth="9.140625" defaultRowHeight="15"/>
  <cols>
    <col min="1" max="1" width="9.140625" style="188" customWidth="1"/>
    <col min="2" max="2" width="6.421875" style="3" customWidth="1"/>
    <col min="3" max="3" width="15.28125" style="3" customWidth="1"/>
    <col min="4" max="5" width="9.140625" style="3" customWidth="1"/>
    <col min="6" max="6" width="11.57421875" style="3" bestFit="1" customWidth="1"/>
    <col min="7" max="8" width="11.57421875" style="95" bestFit="1" customWidth="1"/>
    <col min="9" max="9" width="9.140625" style="3" customWidth="1"/>
    <col min="10" max="10" width="11.57421875" style="3" bestFit="1" customWidth="1"/>
    <col min="11" max="11" width="9.140625" style="3" customWidth="1"/>
    <col min="12" max="13" width="11.57421875" style="3" bestFit="1" customWidth="1"/>
    <col min="14" max="15" width="9.140625" style="3" customWidth="1"/>
    <col min="16" max="17" width="9.140625" style="99" customWidth="1"/>
    <col min="18" max="18" width="9.140625" style="3" customWidth="1"/>
    <col min="19" max="19" width="11.57421875" style="3" bestFit="1" customWidth="1"/>
    <col min="20" max="16384" width="9.140625" style="3" customWidth="1"/>
  </cols>
  <sheetData>
    <row r="1" spans="1:19" s="489" customFormat="1" ht="15">
      <c r="A1" s="516"/>
      <c r="B1" s="588" t="s">
        <v>258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11"/>
      <c r="P1" s="520"/>
      <c r="Q1" s="520"/>
      <c r="R1" s="511"/>
      <c r="S1" s="511"/>
    </row>
    <row r="2" spans="1:21" s="489" customFormat="1" ht="63" customHeight="1">
      <c r="A2" s="590" t="s">
        <v>256</v>
      </c>
      <c r="B2" s="512"/>
      <c r="C2" s="512"/>
      <c r="D2" s="590" t="s">
        <v>7</v>
      </c>
      <c r="E2" s="590"/>
      <c r="F2" s="590" t="s">
        <v>39</v>
      </c>
      <c r="G2" s="592" t="s">
        <v>20</v>
      </c>
      <c r="H2" s="592" t="s">
        <v>260</v>
      </c>
      <c r="I2" s="590" t="s">
        <v>9</v>
      </c>
      <c r="J2" s="590"/>
      <c r="K2" s="590" t="s">
        <v>13</v>
      </c>
      <c r="L2" s="590"/>
      <c r="M2" s="591"/>
      <c r="N2" s="599" t="s">
        <v>259</v>
      </c>
      <c r="O2" s="599"/>
      <c r="P2" s="587" t="s">
        <v>127</v>
      </c>
      <c r="Q2" s="587"/>
      <c r="R2" s="590" t="s">
        <v>233</v>
      </c>
      <c r="S2" s="590"/>
      <c r="T2" s="587" t="s">
        <v>279</v>
      </c>
      <c r="U2" s="587"/>
    </row>
    <row r="3" spans="1:21" s="489" customFormat="1" ht="180">
      <c r="A3" s="590"/>
      <c r="B3" s="512"/>
      <c r="C3" s="512"/>
      <c r="D3" s="512" t="s">
        <v>8</v>
      </c>
      <c r="E3" s="512" t="s">
        <v>11</v>
      </c>
      <c r="F3" s="590"/>
      <c r="G3" s="593"/>
      <c r="H3" s="593"/>
      <c r="I3" s="512" t="s">
        <v>8</v>
      </c>
      <c r="J3" s="512" t="s">
        <v>10</v>
      </c>
      <c r="K3" s="512" t="s">
        <v>14</v>
      </c>
      <c r="L3" s="512" t="s">
        <v>12</v>
      </c>
      <c r="M3" s="518" t="s">
        <v>15</v>
      </c>
      <c r="N3" s="517" t="s">
        <v>8</v>
      </c>
      <c r="O3" s="517" t="s">
        <v>10</v>
      </c>
      <c r="P3" s="509" t="s">
        <v>8</v>
      </c>
      <c r="Q3" s="509" t="s">
        <v>10</v>
      </c>
      <c r="R3" s="509" t="s">
        <v>8</v>
      </c>
      <c r="S3" s="509" t="s">
        <v>10</v>
      </c>
      <c r="T3" s="553" t="s">
        <v>8</v>
      </c>
      <c r="U3" s="553" t="s">
        <v>10</v>
      </c>
    </row>
    <row r="4" spans="1:21" s="489" customFormat="1" ht="15">
      <c r="A4" s="590"/>
      <c r="B4" s="512">
        <v>1</v>
      </c>
      <c r="C4" s="512" t="s">
        <v>0</v>
      </c>
      <c r="D4" s="509">
        <v>6</v>
      </c>
      <c r="E4" s="295">
        <v>0.2857</v>
      </c>
      <c r="F4" s="94">
        <v>64.33</v>
      </c>
      <c r="G4" s="94">
        <v>33.33</v>
      </c>
      <c r="H4" s="295">
        <v>0.5647</v>
      </c>
      <c r="I4" s="509">
        <v>0</v>
      </c>
      <c r="J4" s="499">
        <v>0</v>
      </c>
      <c r="K4" s="509">
        <v>6</v>
      </c>
      <c r="L4" s="48">
        <v>0.75</v>
      </c>
      <c r="M4" s="366">
        <v>64.33</v>
      </c>
      <c r="N4" s="509">
        <v>0</v>
      </c>
      <c r="O4" s="295">
        <v>0</v>
      </c>
      <c r="P4" s="509">
        <v>1</v>
      </c>
      <c r="Q4" s="295">
        <v>0.1667</v>
      </c>
      <c r="R4" s="512">
        <v>0</v>
      </c>
      <c r="S4" s="512">
        <v>0</v>
      </c>
      <c r="T4" s="70">
        <v>3</v>
      </c>
      <c r="U4" s="295">
        <v>0.5</v>
      </c>
    </row>
    <row r="5" spans="1:21" s="489" customFormat="1" ht="15">
      <c r="A5" s="590"/>
      <c r="B5" s="512">
        <v>2</v>
      </c>
      <c r="C5" s="512" t="s">
        <v>1</v>
      </c>
      <c r="D5" s="509">
        <v>6</v>
      </c>
      <c r="E5" s="48">
        <v>0.46</v>
      </c>
      <c r="F5" s="284">
        <v>76.5</v>
      </c>
      <c r="G5" s="68">
        <v>42.5</v>
      </c>
      <c r="H5" s="416">
        <v>0.733</v>
      </c>
      <c r="I5" s="509">
        <v>0</v>
      </c>
      <c r="J5" s="499">
        <v>0</v>
      </c>
      <c r="K5" s="509">
        <v>4</v>
      </c>
      <c r="L5" s="48">
        <v>0.66</v>
      </c>
      <c r="M5" s="367">
        <v>79</v>
      </c>
      <c r="N5" s="509">
        <v>0</v>
      </c>
      <c r="O5" s="295">
        <v>0</v>
      </c>
      <c r="P5" s="509">
        <v>2</v>
      </c>
      <c r="Q5" s="305">
        <v>0.333</v>
      </c>
      <c r="R5" s="509">
        <v>0</v>
      </c>
      <c r="S5" s="519">
        <v>0</v>
      </c>
      <c r="T5" s="70">
        <v>5</v>
      </c>
      <c r="U5" s="305">
        <v>0.833</v>
      </c>
    </row>
    <row r="6" spans="1:21" s="489" customFormat="1" ht="15">
      <c r="A6" s="590"/>
      <c r="B6" s="512">
        <v>3</v>
      </c>
      <c r="C6" s="512" t="s">
        <v>2</v>
      </c>
      <c r="D6" s="509"/>
      <c r="E6" s="48"/>
      <c r="F6" s="68"/>
      <c r="G6" s="68"/>
      <c r="H6" s="499"/>
      <c r="I6" s="509"/>
      <c r="J6" s="499"/>
      <c r="K6" s="509"/>
      <c r="L6" s="48"/>
      <c r="M6" s="366"/>
      <c r="N6" s="509"/>
      <c r="O6" s="295"/>
      <c r="P6" s="509"/>
      <c r="Q6" s="295"/>
      <c r="R6" s="512"/>
      <c r="S6" s="519"/>
      <c r="T6" s="70"/>
      <c r="U6" s="295"/>
    </row>
    <row r="7" spans="1:21" s="489" customFormat="1" ht="15">
      <c r="A7" s="590"/>
      <c r="B7" s="512">
        <v>4</v>
      </c>
      <c r="C7" s="512" t="s">
        <v>3</v>
      </c>
      <c r="D7" s="509">
        <v>2</v>
      </c>
      <c r="E7" s="48">
        <v>0.11</v>
      </c>
      <c r="F7" s="68">
        <v>68</v>
      </c>
      <c r="G7" s="68">
        <v>37</v>
      </c>
      <c r="H7" s="499">
        <v>0.63</v>
      </c>
      <c r="I7" s="509">
        <v>0</v>
      </c>
      <c r="J7" s="499">
        <v>0</v>
      </c>
      <c r="K7" s="509">
        <v>2</v>
      </c>
      <c r="L7" s="308">
        <v>0.5</v>
      </c>
      <c r="M7" s="367">
        <v>68</v>
      </c>
      <c r="N7" s="509">
        <v>0</v>
      </c>
      <c r="O7" s="295">
        <v>0</v>
      </c>
      <c r="P7" s="509">
        <v>0</v>
      </c>
      <c r="Q7" s="295">
        <v>0</v>
      </c>
      <c r="R7" s="512">
        <v>0</v>
      </c>
      <c r="S7" s="519">
        <v>0</v>
      </c>
      <c r="T7" s="70">
        <v>1</v>
      </c>
      <c r="U7" s="295">
        <v>0.5</v>
      </c>
    </row>
    <row r="8" spans="1:21" s="489" customFormat="1" ht="30">
      <c r="A8" s="590"/>
      <c r="B8" s="512">
        <v>5</v>
      </c>
      <c r="C8" s="512" t="s">
        <v>4</v>
      </c>
      <c r="D8" s="509"/>
      <c r="E8" s="48"/>
      <c r="F8" s="68"/>
      <c r="G8" s="509"/>
      <c r="H8" s="499"/>
      <c r="I8" s="509"/>
      <c r="J8" s="499"/>
      <c r="K8" s="509"/>
      <c r="L8" s="48"/>
      <c r="M8" s="515"/>
      <c r="N8" s="509"/>
      <c r="O8" s="295"/>
      <c r="P8" s="509"/>
      <c r="Q8" s="295"/>
      <c r="R8" s="512"/>
      <c r="S8" s="519"/>
      <c r="T8" s="70"/>
      <c r="U8" s="295"/>
    </row>
    <row r="9" spans="1:21" s="489" customFormat="1" ht="30">
      <c r="A9" s="590"/>
      <c r="B9" s="512">
        <v>6</v>
      </c>
      <c r="C9" s="512" t="s">
        <v>5</v>
      </c>
      <c r="D9" s="509"/>
      <c r="E9" s="48"/>
      <c r="F9" s="68"/>
      <c r="G9" s="509"/>
      <c r="H9" s="499"/>
      <c r="I9" s="509"/>
      <c r="J9" s="499"/>
      <c r="K9" s="509"/>
      <c r="L9" s="48"/>
      <c r="M9" s="515"/>
      <c r="N9" s="509"/>
      <c r="O9" s="295"/>
      <c r="P9" s="509"/>
      <c r="Q9" s="295"/>
      <c r="R9" s="512"/>
      <c r="S9" s="519"/>
      <c r="T9" s="70"/>
      <c r="U9" s="295"/>
    </row>
    <row r="10" spans="1:21" s="489" customFormat="1" ht="15">
      <c r="A10" s="590"/>
      <c r="B10" s="521"/>
      <c r="C10" s="521" t="s">
        <v>6</v>
      </c>
      <c r="D10" s="296">
        <f>SUM(D4:D9)</f>
        <v>14</v>
      </c>
      <c r="E10" s="171">
        <v>0.2</v>
      </c>
      <c r="F10" s="283">
        <v>70.14</v>
      </c>
      <c r="G10" s="149">
        <v>37.8</v>
      </c>
      <c r="H10" s="171">
        <v>0.65</v>
      </c>
      <c r="I10" s="296">
        <f>SUM(I4:I9)</f>
        <v>0</v>
      </c>
      <c r="J10" s="83">
        <f>I10/D10</f>
        <v>0</v>
      </c>
      <c r="K10" s="296">
        <f>SUM(K4:K9)</f>
        <v>12</v>
      </c>
      <c r="L10" s="301">
        <v>0.7</v>
      </c>
      <c r="M10" s="368">
        <v>69.91</v>
      </c>
      <c r="N10" s="296">
        <f>SUM(N4:N9)</f>
        <v>0</v>
      </c>
      <c r="O10" s="298">
        <f>N10/D10</f>
        <v>0</v>
      </c>
      <c r="P10" s="296">
        <f>SUM(P4:P9)</f>
        <v>3</v>
      </c>
      <c r="Q10" s="298">
        <v>0.21</v>
      </c>
      <c r="R10" s="521">
        <f>SUM(R4:R9)</f>
        <v>0</v>
      </c>
      <c r="S10" s="13">
        <f>R10/D10</f>
        <v>0</v>
      </c>
      <c r="T10" s="269">
        <v>9</v>
      </c>
      <c r="U10" s="298">
        <v>0.64</v>
      </c>
    </row>
    <row r="11" spans="1:21" s="489" customFormat="1" ht="15">
      <c r="A11" s="591"/>
      <c r="B11" s="561"/>
      <c r="C11" s="561" t="s">
        <v>22</v>
      </c>
      <c r="D11" s="561"/>
      <c r="E11" s="561"/>
      <c r="F11" s="561">
        <v>61.83</v>
      </c>
      <c r="G11" s="561"/>
      <c r="H11" s="561"/>
      <c r="I11" s="561"/>
      <c r="J11" s="561">
        <v>6.61</v>
      </c>
      <c r="K11" s="561"/>
      <c r="L11" s="561"/>
      <c r="M11" s="561"/>
      <c r="N11" s="44"/>
      <c r="O11" s="86"/>
      <c r="P11" s="296"/>
      <c r="Q11" s="298">
        <v>0.1464</v>
      </c>
      <c r="R11" s="555"/>
      <c r="S11" s="555"/>
      <c r="T11" s="296"/>
      <c r="U11" s="295"/>
    </row>
    <row r="12" spans="1:21" s="554" customFormat="1" ht="15">
      <c r="A12" s="558"/>
      <c r="B12" s="561"/>
      <c r="C12" s="561" t="s">
        <v>277</v>
      </c>
      <c r="D12" s="561"/>
      <c r="E12" s="561"/>
      <c r="F12" s="561">
        <v>53.8</v>
      </c>
      <c r="G12" s="561"/>
      <c r="H12" s="561"/>
      <c r="I12" s="561"/>
      <c r="J12" s="561">
        <v>20.66</v>
      </c>
      <c r="K12" s="561"/>
      <c r="L12" s="561"/>
      <c r="M12" s="561"/>
      <c r="N12" s="44"/>
      <c r="O12" s="86"/>
      <c r="P12" s="296"/>
      <c r="Q12" s="298">
        <v>0.123</v>
      </c>
      <c r="R12" s="555"/>
      <c r="S12" s="555"/>
      <c r="T12" s="296"/>
      <c r="U12" s="295"/>
    </row>
    <row r="13" spans="1:21" s="554" customFormat="1" ht="15">
      <c r="A13" s="558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217"/>
      <c r="O13" s="265"/>
      <c r="P13" s="146"/>
      <c r="Q13" s="147"/>
      <c r="R13" s="558"/>
      <c r="S13" s="558"/>
      <c r="T13" s="146"/>
      <c r="U13" s="148"/>
    </row>
    <row r="14" spans="1:17" s="489" customFormat="1" ht="15">
      <c r="A14" s="492"/>
      <c r="B14" s="588" t="s">
        <v>243</v>
      </c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P14" s="495"/>
      <c r="Q14" s="495"/>
    </row>
    <row r="15" spans="1:19" s="352" customFormat="1" ht="15">
      <c r="A15" s="590" t="s">
        <v>228</v>
      </c>
      <c r="B15" s="490"/>
      <c r="C15" s="490"/>
      <c r="D15" s="590" t="s">
        <v>7</v>
      </c>
      <c r="E15" s="590"/>
      <c r="F15" s="590" t="s">
        <v>39</v>
      </c>
      <c r="G15" s="592" t="s">
        <v>20</v>
      </c>
      <c r="H15" s="592" t="s">
        <v>147</v>
      </c>
      <c r="I15" s="590" t="s">
        <v>9</v>
      </c>
      <c r="J15" s="590"/>
      <c r="K15" s="590" t="s">
        <v>13</v>
      </c>
      <c r="L15" s="590"/>
      <c r="M15" s="591"/>
      <c r="N15" s="599" t="s">
        <v>230</v>
      </c>
      <c r="O15" s="599"/>
      <c r="P15" s="587" t="s">
        <v>127</v>
      </c>
      <c r="Q15" s="587"/>
      <c r="R15" s="590" t="s">
        <v>233</v>
      </c>
      <c r="S15" s="590"/>
    </row>
    <row r="16" spans="1:19" s="202" customFormat="1" ht="44.25" customHeight="1">
      <c r="A16" s="590"/>
      <c r="B16" s="490"/>
      <c r="C16" s="490"/>
      <c r="D16" s="490" t="s">
        <v>8</v>
      </c>
      <c r="E16" s="490" t="s">
        <v>11</v>
      </c>
      <c r="F16" s="590"/>
      <c r="G16" s="593"/>
      <c r="H16" s="593"/>
      <c r="I16" s="490" t="s">
        <v>8</v>
      </c>
      <c r="J16" s="490" t="s">
        <v>10</v>
      </c>
      <c r="K16" s="490" t="s">
        <v>14</v>
      </c>
      <c r="L16" s="490" t="s">
        <v>12</v>
      </c>
      <c r="M16" s="494" t="s">
        <v>15</v>
      </c>
      <c r="N16" s="493" t="s">
        <v>8</v>
      </c>
      <c r="O16" s="493" t="s">
        <v>10</v>
      </c>
      <c r="P16" s="487" t="s">
        <v>8</v>
      </c>
      <c r="Q16" s="487" t="s">
        <v>10</v>
      </c>
      <c r="R16" s="498" t="s">
        <v>8</v>
      </c>
      <c r="S16" s="498" t="s">
        <v>10</v>
      </c>
    </row>
    <row r="17" spans="1:237" s="202" customFormat="1" ht="137.25" customHeight="1">
      <c r="A17" s="590"/>
      <c r="B17" s="490">
        <v>1</v>
      </c>
      <c r="C17" s="490" t="s">
        <v>0</v>
      </c>
      <c r="D17" s="487"/>
      <c r="E17" s="48"/>
      <c r="F17" s="68"/>
      <c r="G17" s="68"/>
      <c r="H17" s="65"/>
      <c r="I17" s="487"/>
      <c r="J17" s="65"/>
      <c r="K17" s="487"/>
      <c r="L17" s="48"/>
      <c r="M17" s="366"/>
      <c r="N17" s="487"/>
      <c r="O17" s="295"/>
      <c r="P17" s="487"/>
      <c r="Q17" s="295"/>
      <c r="R17" s="497"/>
      <c r="S17" s="497"/>
      <c r="T17" s="595"/>
      <c r="U17" s="595"/>
      <c r="V17" s="595"/>
      <c r="W17" s="595"/>
      <c r="X17" s="595"/>
      <c r="Y17" s="595"/>
      <c r="Z17" s="596"/>
      <c r="AA17" s="596"/>
      <c r="AB17" s="597"/>
      <c r="AC17" s="597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6"/>
      <c r="AQ17" s="596"/>
      <c r="AR17" s="597"/>
      <c r="AS17" s="597"/>
      <c r="AV17" s="595"/>
      <c r="AW17" s="595"/>
      <c r="AX17" s="595"/>
      <c r="AY17" s="595"/>
      <c r="AZ17" s="595"/>
      <c r="BA17" s="595"/>
      <c r="BB17" s="595"/>
      <c r="BC17" s="595"/>
      <c r="BD17" s="595"/>
      <c r="BE17" s="595"/>
      <c r="BF17" s="596"/>
      <c r="BG17" s="596"/>
      <c r="BH17" s="597"/>
      <c r="BI17" s="597"/>
      <c r="BL17" s="595"/>
      <c r="BM17" s="595"/>
      <c r="BN17" s="595"/>
      <c r="BO17" s="595"/>
      <c r="BP17" s="595"/>
      <c r="BQ17" s="595"/>
      <c r="BR17" s="595"/>
      <c r="BS17" s="595"/>
      <c r="BT17" s="595"/>
      <c r="BU17" s="595"/>
      <c r="BV17" s="596"/>
      <c r="BW17" s="596"/>
      <c r="BX17" s="597"/>
      <c r="BY17" s="597"/>
      <c r="CB17" s="595"/>
      <c r="CC17" s="595"/>
      <c r="CD17" s="595"/>
      <c r="CE17" s="595"/>
      <c r="CF17" s="595"/>
      <c r="CG17" s="595"/>
      <c r="CH17" s="595"/>
      <c r="CI17" s="595"/>
      <c r="CJ17" s="595"/>
      <c r="CK17" s="595"/>
      <c r="CL17" s="596"/>
      <c r="CM17" s="596"/>
      <c r="CN17" s="597"/>
      <c r="CO17" s="597"/>
      <c r="CR17" s="595"/>
      <c r="CS17" s="595"/>
      <c r="CT17" s="595"/>
      <c r="CU17" s="595"/>
      <c r="CV17" s="595"/>
      <c r="CW17" s="595"/>
      <c r="CX17" s="595"/>
      <c r="CY17" s="595"/>
      <c r="CZ17" s="595"/>
      <c r="DA17" s="595"/>
      <c r="DB17" s="596"/>
      <c r="DC17" s="596"/>
      <c r="DD17" s="597"/>
      <c r="DE17" s="597"/>
      <c r="DH17" s="595"/>
      <c r="DI17" s="595"/>
      <c r="DJ17" s="595"/>
      <c r="DK17" s="595"/>
      <c r="DL17" s="595"/>
      <c r="DM17" s="595"/>
      <c r="DN17" s="595"/>
      <c r="DO17" s="595"/>
      <c r="DP17" s="595"/>
      <c r="DQ17" s="595"/>
      <c r="DR17" s="596"/>
      <c r="DS17" s="596"/>
      <c r="DT17" s="597"/>
      <c r="DU17" s="597"/>
      <c r="DX17" s="595"/>
      <c r="DY17" s="595"/>
      <c r="DZ17" s="595"/>
      <c r="EA17" s="595"/>
      <c r="EB17" s="595"/>
      <c r="EC17" s="595"/>
      <c r="ED17" s="595"/>
      <c r="EE17" s="595"/>
      <c r="EF17" s="595"/>
      <c r="EG17" s="595"/>
      <c r="EH17" s="596"/>
      <c r="EI17" s="596"/>
      <c r="EJ17" s="597"/>
      <c r="EK17" s="597"/>
      <c r="EN17" s="595"/>
      <c r="EO17" s="595"/>
      <c r="EP17" s="595"/>
      <c r="EQ17" s="595"/>
      <c r="ER17" s="595"/>
      <c r="ES17" s="595"/>
      <c r="ET17" s="595"/>
      <c r="EU17" s="595"/>
      <c r="EV17" s="595"/>
      <c r="EW17" s="595"/>
      <c r="EX17" s="596"/>
      <c r="EY17" s="596"/>
      <c r="EZ17" s="597"/>
      <c r="FA17" s="597"/>
      <c r="FD17" s="595"/>
      <c r="FE17" s="595"/>
      <c r="FF17" s="595"/>
      <c r="FG17" s="595"/>
      <c r="FH17" s="595"/>
      <c r="FI17" s="595"/>
      <c r="FJ17" s="595"/>
      <c r="FK17" s="595"/>
      <c r="FL17" s="595"/>
      <c r="FM17" s="595"/>
      <c r="FN17" s="596"/>
      <c r="FO17" s="596"/>
      <c r="FP17" s="597"/>
      <c r="FQ17" s="597"/>
      <c r="FT17" s="595"/>
      <c r="FU17" s="595"/>
      <c r="FV17" s="595"/>
      <c r="FW17" s="595"/>
      <c r="FX17" s="595"/>
      <c r="FY17" s="595"/>
      <c r="FZ17" s="595"/>
      <c r="GA17" s="595"/>
      <c r="GB17" s="595"/>
      <c r="GC17" s="595"/>
      <c r="GD17" s="596"/>
      <c r="GE17" s="596"/>
      <c r="GF17" s="597"/>
      <c r="GG17" s="597"/>
      <c r="GJ17" s="595"/>
      <c r="GK17" s="595"/>
      <c r="GL17" s="595"/>
      <c r="GM17" s="595"/>
      <c r="GN17" s="595"/>
      <c r="GO17" s="595"/>
      <c r="GP17" s="595"/>
      <c r="GQ17" s="595"/>
      <c r="GR17" s="595"/>
      <c r="GS17" s="595"/>
      <c r="GT17" s="596"/>
      <c r="GU17" s="596"/>
      <c r="GV17" s="597"/>
      <c r="GW17" s="597"/>
      <c r="GZ17" s="595"/>
      <c r="HA17" s="595"/>
      <c r="HB17" s="595"/>
      <c r="HC17" s="595"/>
      <c r="HD17" s="595"/>
      <c r="HE17" s="595"/>
      <c r="HF17" s="595"/>
      <c r="HG17" s="595"/>
      <c r="HH17" s="595"/>
      <c r="HI17" s="595"/>
      <c r="HJ17" s="596"/>
      <c r="HK17" s="596"/>
      <c r="HL17" s="597"/>
      <c r="HM17" s="597"/>
      <c r="HP17" s="595"/>
      <c r="HQ17" s="595"/>
      <c r="HR17" s="595"/>
      <c r="HS17" s="595"/>
      <c r="HT17" s="595"/>
      <c r="HU17" s="595"/>
      <c r="HV17" s="595"/>
      <c r="HW17" s="595"/>
      <c r="HX17" s="595"/>
      <c r="HY17" s="595"/>
      <c r="HZ17" s="596"/>
      <c r="IA17" s="596"/>
      <c r="IB17" s="597"/>
      <c r="IC17" s="597"/>
    </row>
    <row r="18" spans="1:237" s="202" customFormat="1" ht="15">
      <c r="A18" s="590"/>
      <c r="B18" s="490">
        <v>2</v>
      </c>
      <c r="C18" s="490" t="s">
        <v>1</v>
      </c>
      <c r="D18" s="487">
        <v>7</v>
      </c>
      <c r="E18" s="48">
        <f>D18/22</f>
        <v>0.3181818181818182</v>
      </c>
      <c r="F18" s="284">
        <v>80</v>
      </c>
      <c r="G18" s="68">
        <v>45</v>
      </c>
      <c r="H18" s="416">
        <f>45/60</f>
        <v>0.75</v>
      </c>
      <c r="I18" s="487">
        <v>0</v>
      </c>
      <c r="J18" s="65">
        <v>0</v>
      </c>
      <c r="K18" s="487">
        <v>7</v>
      </c>
      <c r="L18" s="48">
        <f>K18/10</f>
        <v>0.7</v>
      </c>
      <c r="M18" s="367">
        <v>80</v>
      </c>
      <c r="N18" s="487"/>
      <c r="O18" s="295"/>
      <c r="P18" s="487">
        <v>2</v>
      </c>
      <c r="Q18" s="295">
        <f>P18/D18</f>
        <v>0.2857142857142857</v>
      </c>
      <c r="R18" s="502">
        <v>1</v>
      </c>
      <c r="S18" s="500">
        <f>R18/D18</f>
        <v>0.14285714285714285</v>
      </c>
      <c r="T18" s="595"/>
      <c r="Z18" s="203"/>
      <c r="AA18" s="203"/>
      <c r="AB18" s="192"/>
      <c r="AC18" s="192"/>
      <c r="AH18" s="595"/>
      <c r="AI18" s="595"/>
      <c r="AJ18" s="595"/>
      <c r="AP18" s="203"/>
      <c r="AQ18" s="203"/>
      <c r="AR18" s="192"/>
      <c r="AS18" s="192"/>
      <c r="AX18" s="595"/>
      <c r="AY18" s="595"/>
      <c r="AZ18" s="595"/>
      <c r="BF18" s="203"/>
      <c r="BG18" s="203"/>
      <c r="BH18" s="192"/>
      <c r="BI18" s="192"/>
      <c r="BN18" s="595"/>
      <c r="BO18" s="595"/>
      <c r="BP18" s="595"/>
      <c r="BV18" s="203"/>
      <c r="BW18" s="203"/>
      <c r="BX18" s="192"/>
      <c r="BY18" s="192"/>
      <c r="CD18" s="595"/>
      <c r="CE18" s="595"/>
      <c r="CF18" s="595"/>
      <c r="CL18" s="203"/>
      <c r="CM18" s="203"/>
      <c r="CN18" s="192"/>
      <c r="CO18" s="192"/>
      <c r="CT18" s="595"/>
      <c r="CU18" s="595"/>
      <c r="CV18" s="595"/>
      <c r="DB18" s="203"/>
      <c r="DC18" s="203"/>
      <c r="DD18" s="192"/>
      <c r="DE18" s="192"/>
      <c r="DJ18" s="595"/>
      <c r="DK18" s="595"/>
      <c r="DL18" s="595"/>
      <c r="DR18" s="203"/>
      <c r="DS18" s="203"/>
      <c r="DT18" s="192"/>
      <c r="DU18" s="192"/>
      <c r="DZ18" s="595"/>
      <c r="EA18" s="595"/>
      <c r="EB18" s="595"/>
      <c r="EH18" s="203"/>
      <c r="EI18" s="203"/>
      <c r="EJ18" s="192"/>
      <c r="EK18" s="192"/>
      <c r="EP18" s="595"/>
      <c r="EQ18" s="595"/>
      <c r="ER18" s="595"/>
      <c r="EX18" s="203"/>
      <c r="EY18" s="203"/>
      <c r="EZ18" s="192"/>
      <c r="FA18" s="192"/>
      <c r="FF18" s="595"/>
      <c r="FG18" s="595"/>
      <c r="FH18" s="595"/>
      <c r="FN18" s="203"/>
      <c r="FO18" s="203"/>
      <c r="FP18" s="192"/>
      <c r="FQ18" s="192"/>
      <c r="FV18" s="595"/>
      <c r="FW18" s="595"/>
      <c r="FX18" s="595"/>
      <c r="GD18" s="203"/>
      <c r="GE18" s="203"/>
      <c r="GF18" s="192"/>
      <c r="GG18" s="192"/>
      <c r="GL18" s="595"/>
      <c r="GM18" s="595"/>
      <c r="GN18" s="595"/>
      <c r="GT18" s="203"/>
      <c r="GU18" s="203"/>
      <c r="GV18" s="192"/>
      <c r="GW18" s="192"/>
      <c r="HB18" s="595"/>
      <c r="HC18" s="595"/>
      <c r="HD18" s="595"/>
      <c r="HJ18" s="203"/>
      <c r="HK18" s="203"/>
      <c r="HL18" s="192"/>
      <c r="HM18" s="192"/>
      <c r="HR18" s="595"/>
      <c r="HS18" s="595"/>
      <c r="HT18" s="595"/>
      <c r="HZ18" s="203"/>
      <c r="IA18" s="203"/>
      <c r="IB18" s="192"/>
      <c r="IC18" s="192"/>
    </row>
    <row r="19" spans="1:237" s="202" customFormat="1" ht="15">
      <c r="A19" s="590"/>
      <c r="B19" s="490">
        <v>3</v>
      </c>
      <c r="C19" s="490" t="s">
        <v>2</v>
      </c>
      <c r="D19" s="487"/>
      <c r="E19" s="48"/>
      <c r="F19" s="68"/>
      <c r="G19" s="68"/>
      <c r="H19" s="65"/>
      <c r="I19" s="487"/>
      <c r="J19" s="65"/>
      <c r="K19" s="487"/>
      <c r="L19" s="48"/>
      <c r="M19" s="366"/>
      <c r="N19" s="487"/>
      <c r="O19" s="295"/>
      <c r="P19" s="487"/>
      <c r="Q19" s="295"/>
      <c r="R19" s="497"/>
      <c r="S19" s="500"/>
      <c r="T19" s="206"/>
      <c r="V19" s="144"/>
      <c r="X19" s="204"/>
      <c r="Y19" s="207"/>
      <c r="Z19" s="203"/>
      <c r="AA19" s="208"/>
      <c r="AB19" s="192"/>
      <c r="AC19" s="148"/>
      <c r="AG19" s="204"/>
      <c r="AH19" s="205"/>
      <c r="AI19" s="205"/>
      <c r="AJ19" s="206"/>
      <c r="AL19" s="144"/>
      <c r="AN19" s="204"/>
      <c r="AO19" s="207"/>
      <c r="AP19" s="203"/>
      <c r="AQ19" s="208"/>
      <c r="AR19" s="192"/>
      <c r="AS19" s="148"/>
      <c r="AW19" s="204"/>
      <c r="AX19" s="205"/>
      <c r="AY19" s="205"/>
      <c r="AZ19" s="206"/>
      <c r="BB19" s="144"/>
      <c r="BD19" s="204"/>
      <c r="BE19" s="207"/>
      <c r="BF19" s="203"/>
      <c r="BG19" s="208"/>
      <c r="BH19" s="192"/>
      <c r="BI19" s="148"/>
      <c r="BM19" s="204"/>
      <c r="BN19" s="205"/>
      <c r="BO19" s="205"/>
      <c r="BP19" s="206"/>
      <c r="BR19" s="144"/>
      <c r="BT19" s="204"/>
      <c r="BU19" s="207"/>
      <c r="BV19" s="203"/>
      <c r="BW19" s="208"/>
      <c r="BX19" s="192"/>
      <c r="BY19" s="148"/>
      <c r="CC19" s="204"/>
      <c r="CD19" s="205"/>
      <c r="CE19" s="205"/>
      <c r="CF19" s="206"/>
      <c r="CH19" s="144"/>
      <c r="CJ19" s="204"/>
      <c r="CK19" s="207"/>
      <c r="CL19" s="203"/>
      <c r="CM19" s="208"/>
      <c r="CN19" s="192"/>
      <c r="CO19" s="148"/>
      <c r="CS19" s="204"/>
      <c r="CT19" s="205"/>
      <c r="CU19" s="205"/>
      <c r="CV19" s="206"/>
      <c r="CX19" s="144"/>
      <c r="CZ19" s="204"/>
      <c r="DA19" s="207"/>
      <c r="DB19" s="203"/>
      <c r="DC19" s="208"/>
      <c r="DD19" s="192"/>
      <c r="DE19" s="148"/>
      <c r="DI19" s="204"/>
      <c r="DJ19" s="205"/>
      <c r="DK19" s="205"/>
      <c r="DL19" s="206"/>
      <c r="DN19" s="144"/>
      <c r="DP19" s="204"/>
      <c r="DQ19" s="207"/>
      <c r="DR19" s="203"/>
      <c r="DS19" s="208"/>
      <c r="DT19" s="192"/>
      <c r="DU19" s="148"/>
      <c r="DY19" s="204"/>
      <c r="DZ19" s="205"/>
      <c r="EA19" s="205"/>
      <c r="EB19" s="206"/>
      <c r="ED19" s="144"/>
      <c r="EF19" s="204"/>
      <c r="EG19" s="207"/>
      <c r="EH19" s="203"/>
      <c r="EI19" s="208"/>
      <c r="EJ19" s="192"/>
      <c r="EK19" s="148"/>
      <c r="EO19" s="204"/>
      <c r="EP19" s="205"/>
      <c r="EQ19" s="205"/>
      <c r="ER19" s="206"/>
      <c r="ET19" s="144"/>
      <c r="EV19" s="204"/>
      <c r="EW19" s="207"/>
      <c r="EX19" s="203"/>
      <c r="EY19" s="208"/>
      <c r="EZ19" s="192"/>
      <c r="FA19" s="148"/>
      <c r="FE19" s="204"/>
      <c r="FF19" s="205"/>
      <c r="FG19" s="205"/>
      <c r="FH19" s="206"/>
      <c r="FJ19" s="144"/>
      <c r="FL19" s="204"/>
      <c r="FM19" s="207"/>
      <c r="FN19" s="203"/>
      <c r="FO19" s="208"/>
      <c r="FP19" s="192"/>
      <c r="FQ19" s="148"/>
      <c r="FU19" s="204"/>
      <c r="FV19" s="205"/>
      <c r="FW19" s="205"/>
      <c r="FX19" s="206"/>
      <c r="FZ19" s="144"/>
      <c r="GB19" s="204"/>
      <c r="GC19" s="207"/>
      <c r="GD19" s="203"/>
      <c r="GE19" s="208"/>
      <c r="GF19" s="192"/>
      <c r="GG19" s="148"/>
      <c r="GK19" s="204"/>
      <c r="GL19" s="205"/>
      <c r="GM19" s="205"/>
      <c r="GN19" s="206"/>
      <c r="GP19" s="144"/>
      <c r="GR19" s="204"/>
      <c r="GS19" s="207"/>
      <c r="GT19" s="203"/>
      <c r="GU19" s="208"/>
      <c r="GV19" s="192"/>
      <c r="GW19" s="148"/>
      <c r="HA19" s="204"/>
      <c r="HB19" s="205"/>
      <c r="HC19" s="205"/>
      <c r="HD19" s="206"/>
      <c r="HF19" s="144"/>
      <c r="HH19" s="204"/>
      <c r="HI19" s="207"/>
      <c r="HJ19" s="203"/>
      <c r="HK19" s="208"/>
      <c r="HL19" s="192"/>
      <c r="HM19" s="148"/>
      <c r="HQ19" s="204"/>
      <c r="HR19" s="205"/>
      <c r="HS19" s="205"/>
      <c r="HT19" s="206"/>
      <c r="HV19" s="144"/>
      <c r="HX19" s="204"/>
      <c r="HY19" s="207"/>
      <c r="HZ19" s="203"/>
      <c r="IA19" s="208"/>
      <c r="IB19" s="192"/>
      <c r="IC19" s="148"/>
    </row>
    <row r="20" spans="1:237" s="202" customFormat="1" ht="15">
      <c r="A20" s="590"/>
      <c r="B20" s="490">
        <v>4</v>
      </c>
      <c r="C20" s="490" t="s">
        <v>3</v>
      </c>
      <c r="D20" s="487">
        <v>4</v>
      </c>
      <c r="E20" s="48">
        <f>D20/27</f>
        <v>0.14814814814814814</v>
      </c>
      <c r="F20" s="68">
        <v>56</v>
      </c>
      <c r="G20" s="68">
        <v>28</v>
      </c>
      <c r="H20" s="65">
        <f>28/60</f>
        <v>0.4666666666666667</v>
      </c>
      <c r="I20" s="105">
        <v>1</v>
      </c>
      <c r="J20" s="314">
        <f>I20/D20</f>
        <v>0.25</v>
      </c>
      <c r="K20" s="487">
        <v>4</v>
      </c>
      <c r="L20" s="48">
        <v>1</v>
      </c>
      <c r="M20" s="367">
        <v>56</v>
      </c>
      <c r="N20" s="487"/>
      <c r="O20" s="295"/>
      <c r="P20" s="487">
        <v>1</v>
      </c>
      <c r="Q20" s="295">
        <f>P20/D20</f>
        <v>0.25</v>
      </c>
      <c r="R20" s="497"/>
      <c r="S20" s="500"/>
      <c r="T20" s="144"/>
      <c r="V20" s="144"/>
      <c r="X20" s="144"/>
      <c r="Y20" s="205"/>
      <c r="Z20" s="203"/>
      <c r="AA20" s="208"/>
      <c r="AB20" s="192"/>
      <c r="AC20" s="209"/>
      <c r="AG20" s="204"/>
      <c r="AH20" s="205"/>
      <c r="AI20" s="205"/>
      <c r="AJ20" s="144"/>
      <c r="AL20" s="144"/>
      <c r="AN20" s="144"/>
      <c r="AO20" s="205"/>
      <c r="AP20" s="203"/>
      <c r="AQ20" s="208"/>
      <c r="AR20" s="192"/>
      <c r="AS20" s="209"/>
      <c r="AW20" s="204"/>
      <c r="AX20" s="205"/>
      <c r="AY20" s="205"/>
      <c r="AZ20" s="144"/>
      <c r="BB20" s="144"/>
      <c r="BD20" s="144"/>
      <c r="BE20" s="205"/>
      <c r="BF20" s="203"/>
      <c r="BG20" s="208"/>
      <c r="BH20" s="192"/>
      <c r="BI20" s="209"/>
      <c r="BM20" s="204"/>
      <c r="BN20" s="205"/>
      <c r="BO20" s="205"/>
      <c r="BP20" s="144"/>
      <c r="BR20" s="144"/>
      <c r="BT20" s="144"/>
      <c r="BU20" s="205"/>
      <c r="BV20" s="203"/>
      <c r="BW20" s="208"/>
      <c r="BX20" s="192"/>
      <c r="BY20" s="209"/>
      <c r="CC20" s="204"/>
      <c r="CD20" s="205"/>
      <c r="CE20" s="205"/>
      <c r="CF20" s="144"/>
      <c r="CH20" s="144"/>
      <c r="CJ20" s="144"/>
      <c r="CK20" s="205"/>
      <c r="CL20" s="203"/>
      <c r="CM20" s="208"/>
      <c r="CN20" s="192"/>
      <c r="CO20" s="209"/>
      <c r="CS20" s="204"/>
      <c r="CT20" s="205"/>
      <c r="CU20" s="205"/>
      <c r="CV20" s="144"/>
      <c r="CX20" s="144"/>
      <c r="CZ20" s="144"/>
      <c r="DA20" s="205"/>
      <c r="DB20" s="203"/>
      <c r="DC20" s="208"/>
      <c r="DD20" s="192"/>
      <c r="DE20" s="209"/>
      <c r="DI20" s="204"/>
      <c r="DJ20" s="205"/>
      <c r="DK20" s="205"/>
      <c r="DL20" s="144"/>
      <c r="DN20" s="144"/>
      <c r="DP20" s="144"/>
      <c r="DQ20" s="205"/>
      <c r="DR20" s="203"/>
      <c r="DS20" s="208"/>
      <c r="DT20" s="192"/>
      <c r="DU20" s="209"/>
      <c r="DY20" s="204"/>
      <c r="DZ20" s="205"/>
      <c r="EA20" s="205"/>
      <c r="EB20" s="144"/>
      <c r="ED20" s="144"/>
      <c r="EF20" s="144"/>
      <c r="EG20" s="205"/>
      <c r="EH20" s="203"/>
      <c r="EI20" s="208"/>
      <c r="EJ20" s="192"/>
      <c r="EK20" s="209"/>
      <c r="EO20" s="204"/>
      <c r="EP20" s="205"/>
      <c r="EQ20" s="205"/>
      <c r="ER20" s="144"/>
      <c r="ET20" s="144"/>
      <c r="EV20" s="144"/>
      <c r="EW20" s="205"/>
      <c r="EX20" s="203"/>
      <c r="EY20" s="208"/>
      <c r="EZ20" s="192"/>
      <c r="FA20" s="209"/>
      <c r="FE20" s="204"/>
      <c r="FF20" s="205"/>
      <c r="FG20" s="205"/>
      <c r="FH20" s="144"/>
      <c r="FJ20" s="144"/>
      <c r="FL20" s="144"/>
      <c r="FM20" s="205"/>
      <c r="FN20" s="203"/>
      <c r="FO20" s="208"/>
      <c r="FP20" s="192"/>
      <c r="FQ20" s="209"/>
      <c r="FU20" s="204"/>
      <c r="FV20" s="205"/>
      <c r="FW20" s="205"/>
      <c r="FX20" s="144"/>
      <c r="FZ20" s="144"/>
      <c r="GB20" s="144"/>
      <c r="GC20" s="205"/>
      <c r="GD20" s="203"/>
      <c r="GE20" s="208"/>
      <c r="GF20" s="192"/>
      <c r="GG20" s="209"/>
      <c r="GK20" s="204"/>
      <c r="GL20" s="205"/>
      <c r="GM20" s="205"/>
      <c r="GN20" s="144"/>
      <c r="GP20" s="144"/>
      <c r="GR20" s="144"/>
      <c r="GS20" s="205"/>
      <c r="GT20" s="203"/>
      <c r="GU20" s="208"/>
      <c r="GV20" s="192"/>
      <c r="GW20" s="209"/>
      <c r="HA20" s="204"/>
      <c r="HB20" s="205"/>
      <c r="HC20" s="205"/>
      <c r="HD20" s="144"/>
      <c r="HF20" s="144"/>
      <c r="HH20" s="144"/>
      <c r="HI20" s="205"/>
      <c r="HJ20" s="203"/>
      <c r="HK20" s="208"/>
      <c r="HL20" s="192"/>
      <c r="HM20" s="209"/>
      <c r="HQ20" s="204"/>
      <c r="HR20" s="205"/>
      <c r="HS20" s="205"/>
      <c r="HT20" s="144"/>
      <c r="HV20" s="144"/>
      <c r="HX20" s="144"/>
      <c r="HY20" s="205"/>
      <c r="HZ20" s="203"/>
      <c r="IA20" s="208"/>
      <c r="IB20" s="192"/>
      <c r="IC20" s="209"/>
    </row>
    <row r="21" spans="1:237" s="202" customFormat="1" ht="30">
      <c r="A21" s="590"/>
      <c r="B21" s="490">
        <v>5</v>
      </c>
      <c r="C21" s="490" t="s">
        <v>4</v>
      </c>
      <c r="D21" s="487"/>
      <c r="E21" s="48"/>
      <c r="F21" s="68"/>
      <c r="G21" s="487"/>
      <c r="H21" s="65"/>
      <c r="I21" s="487"/>
      <c r="J21" s="65"/>
      <c r="K21" s="487"/>
      <c r="L21" s="48"/>
      <c r="M21" s="491"/>
      <c r="N21" s="487"/>
      <c r="O21" s="295"/>
      <c r="P21" s="487"/>
      <c r="Q21" s="295"/>
      <c r="R21" s="497"/>
      <c r="S21" s="500"/>
      <c r="V21" s="144"/>
      <c r="X21" s="204"/>
      <c r="Y21" s="207"/>
      <c r="Z21" s="203"/>
      <c r="AA21" s="208"/>
      <c r="AB21" s="192"/>
      <c r="AC21" s="148"/>
      <c r="AG21" s="204"/>
      <c r="AL21" s="144"/>
      <c r="AN21" s="204"/>
      <c r="AO21" s="207"/>
      <c r="AP21" s="203"/>
      <c r="AQ21" s="208"/>
      <c r="AR21" s="192"/>
      <c r="AS21" s="148"/>
      <c r="AW21" s="204"/>
      <c r="BB21" s="144"/>
      <c r="BD21" s="204"/>
      <c r="BE21" s="207"/>
      <c r="BF21" s="203"/>
      <c r="BG21" s="208"/>
      <c r="BH21" s="192"/>
      <c r="BI21" s="148"/>
      <c r="BM21" s="204"/>
      <c r="BR21" s="144"/>
      <c r="BT21" s="204"/>
      <c r="BU21" s="207"/>
      <c r="BV21" s="203"/>
      <c r="BW21" s="208"/>
      <c r="BX21" s="192"/>
      <c r="BY21" s="148"/>
      <c r="CC21" s="204"/>
      <c r="CH21" s="144"/>
      <c r="CJ21" s="204"/>
      <c r="CK21" s="207"/>
      <c r="CL21" s="203"/>
      <c r="CM21" s="208"/>
      <c r="CN21" s="192"/>
      <c r="CO21" s="148"/>
      <c r="CS21" s="204"/>
      <c r="CX21" s="144"/>
      <c r="CZ21" s="204"/>
      <c r="DA21" s="207"/>
      <c r="DB21" s="203"/>
      <c r="DC21" s="208"/>
      <c r="DD21" s="192"/>
      <c r="DE21" s="148"/>
      <c r="DI21" s="204"/>
      <c r="DN21" s="144"/>
      <c r="DP21" s="204"/>
      <c r="DQ21" s="207"/>
      <c r="DR21" s="203"/>
      <c r="DS21" s="208"/>
      <c r="DT21" s="192"/>
      <c r="DU21" s="148"/>
      <c r="DY21" s="204"/>
      <c r="ED21" s="144"/>
      <c r="EF21" s="204"/>
      <c r="EG21" s="207"/>
      <c r="EH21" s="203"/>
      <c r="EI21" s="208"/>
      <c r="EJ21" s="192"/>
      <c r="EK21" s="148"/>
      <c r="EO21" s="204"/>
      <c r="ET21" s="144"/>
      <c r="EV21" s="204"/>
      <c r="EW21" s="207"/>
      <c r="EX21" s="203"/>
      <c r="EY21" s="208"/>
      <c r="EZ21" s="192"/>
      <c r="FA21" s="148"/>
      <c r="FE21" s="204"/>
      <c r="FJ21" s="144"/>
      <c r="FL21" s="204"/>
      <c r="FM21" s="207"/>
      <c r="FN21" s="203"/>
      <c r="FO21" s="208"/>
      <c r="FP21" s="192"/>
      <c r="FQ21" s="148"/>
      <c r="FU21" s="204"/>
      <c r="FZ21" s="144"/>
      <c r="GB21" s="204"/>
      <c r="GC21" s="207"/>
      <c r="GD21" s="203"/>
      <c r="GE21" s="208"/>
      <c r="GF21" s="192"/>
      <c r="GG21" s="148"/>
      <c r="GK21" s="204"/>
      <c r="GP21" s="144"/>
      <c r="GR21" s="204"/>
      <c r="GS21" s="207"/>
      <c r="GT21" s="203"/>
      <c r="GU21" s="208"/>
      <c r="GV21" s="192"/>
      <c r="GW21" s="148"/>
      <c r="HA21" s="204"/>
      <c r="HF21" s="144"/>
      <c r="HH21" s="204"/>
      <c r="HI21" s="207"/>
      <c r="HJ21" s="203"/>
      <c r="HK21" s="208"/>
      <c r="HL21" s="192"/>
      <c r="HM21" s="148"/>
      <c r="HQ21" s="204"/>
      <c r="HV21" s="144"/>
      <c r="HX21" s="204"/>
      <c r="HY21" s="207"/>
      <c r="HZ21" s="203"/>
      <c r="IA21" s="208"/>
      <c r="IB21" s="192"/>
      <c r="IC21" s="148"/>
    </row>
    <row r="22" spans="1:237" s="202" customFormat="1" ht="30">
      <c r="A22" s="590"/>
      <c r="B22" s="490">
        <v>6</v>
      </c>
      <c r="C22" s="490" t="s">
        <v>5</v>
      </c>
      <c r="D22" s="487"/>
      <c r="E22" s="48"/>
      <c r="F22" s="68"/>
      <c r="G22" s="487"/>
      <c r="H22" s="65"/>
      <c r="I22" s="487"/>
      <c r="J22" s="65"/>
      <c r="K22" s="487"/>
      <c r="L22" s="48"/>
      <c r="M22" s="491"/>
      <c r="N22" s="487"/>
      <c r="O22" s="295"/>
      <c r="P22" s="487"/>
      <c r="Q22" s="295"/>
      <c r="R22" s="497"/>
      <c r="S22" s="500"/>
      <c r="T22" s="144"/>
      <c r="V22" s="144"/>
      <c r="X22" s="144"/>
      <c r="Y22" s="205"/>
      <c r="Z22" s="203"/>
      <c r="AA22" s="210"/>
      <c r="AB22" s="192"/>
      <c r="AC22" s="211"/>
      <c r="AG22" s="204"/>
      <c r="AH22" s="205"/>
      <c r="AI22" s="205"/>
      <c r="AJ22" s="144"/>
      <c r="AL22" s="144"/>
      <c r="AN22" s="144"/>
      <c r="AO22" s="205"/>
      <c r="AP22" s="203"/>
      <c r="AQ22" s="210"/>
      <c r="AR22" s="192"/>
      <c r="AS22" s="211"/>
      <c r="AW22" s="204"/>
      <c r="AX22" s="205"/>
      <c r="AY22" s="205"/>
      <c r="AZ22" s="144"/>
      <c r="BB22" s="144"/>
      <c r="BD22" s="144"/>
      <c r="BE22" s="205"/>
      <c r="BF22" s="203"/>
      <c r="BG22" s="210"/>
      <c r="BH22" s="192"/>
      <c r="BI22" s="211"/>
      <c r="BM22" s="204"/>
      <c r="BN22" s="205"/>
      <c r="BO22" s="205"/>
      <c r="BP22" s="144"/>
      <c r="BR22" s="144"/>
      <c r="BT22" s="144"/>
      <c r="BU22" s="205"/>
      <c r="BV22" s="203"/>
      <c r="BW22" s="210"/>
      <c r="BX22" s="192"/>
      <c r="BY22" s="211"/>
      <c r="CC22" s="204"/>
      <c r="CD22" s="205"/>
      <c r="CE22" s="205"/>
      <c r="CF22" s="144"/>
      <c r="CH22" s="144"/>
      <c r="CJ22" s="144"/>
      <c r="CK22" s="205"/>
      <c r="CL22" s="203"/>
      <c r="CM22" s="210"/>
      <c r="CN22" s="192"/>
      <c r="CO22" s="211"/>
      <c r="CS22" s="204"/>
      <c r="CT22" s="205"/>
      <c r="CU22" s="205"/>
      <c r="CV22" s="144"/>
      <c r="CX22" s="144"/>
      <c r="CZ22" s="144"/>
      <c r="DA22" s="205"/>
      <c r="DB22" s="203"/>
      <c r="DC22" s="210"/>
      <c r="DD22" s="192"/>
      <c r="DE22" s="211"/>
      <c r="DI22" s="204"/>
      <c r="DJ22" s="205"/>
      <c r="DK22" s="205"/>
      <c r="DL22" s="144"/>
      <c r="DN22" s="144"/>
      <c r="DP22" s="144"/>
      <c r="DQ22" s="205"/>
      <c r="DR22" s="203"/>
      <c r="DS22" s="210"/>
      <c r="DT22" s="192"/>
      <c r="DU22" s="211"/>
      <c r="DY22" s="204"/>
      <c r="DZ22" s="205"/>
      <c r="EA22" s="205"/>
      <c r="EB22" s="144"/>
      <c r="ED22" s="144"/>
      <c r="EF22" s="144"/>
      <c r="EG22" s="205"/>
      <c r="EH22" s="203"/>
      <c r="EI22" s="210"/>
      <c r="EJ22" s="192"/>
      <c r="EK22" s="211"/>
      <c r="EO22" s="204"/>
      <c r="EP22" s="205"/>
      <c r="EQ22" s="205"/>
      <c r="ER22" s="144"/>
      <c r="ET22" s="144"/>
      <c r="EV22" s="144"/>
      <c r="EW22" s="205"/>
      <c r="EX22" s="203"/>
      <c r="EY22" s="210"/>
      <c r="EZ22" s="192"/>
      <c r="FA22" s="211"/>
      <c r="FE22" s="204"/>
      <c r="FF22" s="205"/>
      <c r="FG22" s="205"/>
      <c r="FH22" s="144"/>
      <c r="FJ22" s="144"/>
      <c r="FL22" s="144"/>
      <c r="FM22" s="205"/>
      <c r="FN22" s="203"/>
      <c r="FO22" s="210"/>
      <c r="FP22" s="192"/>
      <c r="FQ22" s="211"/>
      <c r="FU22" s="204"/>
      <c r="FV22" s="205"/>
      <c r="FW22" s="205"/>
      <c r="FX22" s="144"/>
      <c r="FZ22" s="144"/>
      <c r="GB22" s="144"/>
      <c r="GC22" s="205"/>
      <c r="GD22" s="203"/>
      <c r="GE22" s="210"/>
      <c r="GF22" s="192"/>
      <c r="GG22" s="211"/>
      <c r="GK22" s="204"/>
      <c r="GL22" s="205"/>
      <c r="GM22" s="205"/>
      <c r="GN22" s="144"/>
      <c r="GP22" s="144"/>
      <c r="GR22" s="144"/>
      <c r="GS22" s="205"/>
      <c r="GT22" s="203"/>
      <c r="GU22" s="210"/>
      <c r="GV22" s="192"/>
      <c r="GW22" s="211"/>
      <c r="HA22" s="204"/>
      <c r="HB22" s="205"/>
      <c r="HC22" s="205"/>
      <c r="HD22" s="144"/>
      <c r="HF22" s="144"/>
      <c r="HH22" s="144"/>
      <c r="HI22" s="205"/>
      <c r="HJ22" s="203"/>
      <c r="HK22" s="210"/>
      <c r="HL22" s="192"/>
      <c r="HM22" s="211"/>
      <c r="HQ22" s="204"/>
      <c r="HR22" s="205"/>
      <c r="HS22" s="205"/>
      <c r="HT22" s="144"/>
      <c r="HV22" s="144"/>
      <c r="HX22" s="144"/>
      <c r="HY22" s="205"/>
      <c r="HZ22" s="203"/>
      <c r="IA22" s="210"/>
      <c r="IB22" s="192"/>
      <c r="IC22" s="211"/>
    </row>
    <row r="23" spans="1:237" s="202" customFormat="1" ht="15">
      <c r="A23" s="590"/>
      <c r="B23" s="496"/>
      <c r="C23" s="496" t="s">
        <v>6</v>
      </c>
      <c r="D23" s="296">
        <f>SUM(D17:D22)</f>
        <v>11</v>
      </c>
      <c r="E23" s="171">
        <f>D23/108</f>
        <v>0.10185185185185185</v>
      </c>
      <c r="F23" s="346">
        <f>(559+225)/D23</f>
        <v>71.27272727272727</v>
      </c>
      <c r="G23" s="149">
        <f>(318+111)/D23</f>
        <v>39</v>
      </c>
      <c r="H23" s="171">
        <f>G23/60</f>
        <v>0.65</v>
      </c>
      <c r="I23" s="296">
        <f>SUM(I17:I22)</f>
        <v>1</v>
      </c>
      <c r="J23" s="83">
        <f>I23/D23</f>
        <v>0.09090909090909091</v>
      </c>
      <c r="K23" s="296">
        <f>SUM(K17:K22)</f>
        <v>11</v>
      </c>
      <c r="L23" s="83">
        <f>K23/14</f>
        <v>0.7857142857142857</v>
      </c>
      <c r="M23" s="368">
        <v>71.25</v>
      </c>
      <c r="N23" s="296">
        <f>SUM(N17:N22)</f>
        <v>0</v>
      </c>
      <c r="O23" s="295">
        <f>N23/D23</f>
        <v>0</v>
      </c>
      <c r="P23" s="296">
        <f>SUM(P17:P22)</f>
        <v>3</v>
      </c>
      <c r="Q23" s="295">
        <f>P23/D23</f>
        <v>0.2727272727272727</v>
      </c>
      <c r="R23" s="497">
        <f>SUM(R17:R22)</f>
        <v>1</v>
      </c>
      <c r="S23" s="500">
        <f>R23/D23</f>
        <v>0.09090909090909091</v>
      </c>
      <c r="V23" s="144"/>
      <c r="Z23" s="203"/>
      <c r="AA23" s="208"/>
      <c r="AB23" s="192"/>
      <c r="AC23" s="148"/>
      <c r="AG23" s="204"/>
      <c r="AL23" s="144"/>
      <c r="AP23" s="203"/>
      <c r="AQ23" s="208"/>
      <c r="AR23" s="192"/>
      <c r="AS23" s="148"/>
      <c r="AW23" s="204"/>
      <c r="BB23" s="144"/>
      <c r="BF23" s="203"/>
      <c r="BG23" s="208"/>
      <c r="BH23" s="192"/>
      <c r="BI23" s="148"/>
      <c r="BM23" s="204"/>
      <c r="BR23" s="144"/>
      <c r="BV23" s="203"/>
      <c r="BW23" s="208"/>
      <c r="BX23" s="192"/>
      <c r="BY23" s="148"/>
      <c r="CC23" s="204"/>
      <c r="CH23" s="144"/>
      <c r="CL23" s="203"/>
      <c r="CM23" s="208"/>
      <c r="CN23" s="192"/>
      <c r="CO23" s="148"/>
      <c r="CS23" s="204"/>
      <c r="CX23" s="144"/>
      <c r="DB23" s="203"/>
      <c r="DC23" s="208"/>
      <c r="DD23" s="192"/>
      <c r="DE23" s="148"/>
      <c r="DI23" s="204"/>
      <c r="DN23" s="144"/>
      <c r="DR23" s="203"/>
      <c r="DS23" s="208"/>
      <c r="DT23" s="192"/>
      <c r="DU23" s="148"/>
      <c r="DY23" s="204"/>
      <c r="ED23" s="144"/>
      <c r="EH23" s="203"/>
      <c r="EI23" s="208"/>
      <c r="EJ23" s="192"/>
      <c r="EK23" s="148"/>
      <c r="EO23" s="204"/>
      <c r="ET23" s="144"/>
      <c r="EX23" s="203"/>
      <c r="EY23" s="208"/>
      <c r="EZ23" s="192"/>
      <c r="FA23" s="148"/>
      <c r="FE23" s="204"/>
      <c r="FJ23" s="144"/>
      <c r="FN23" s="203"/>
      <c r="FO23" s="208"/>
      <c r="FP23" s="192"/>
      <c r="FQ23" s="148"/>
      <c r="FU23" s="204"/>
      <c r="FZ23" s="144"/>
      <c r="GD23" s="203"/>
      <c r="GE23" s="208"/>
      <c r="GF23" s="192"/>
      <c r="GG23" s="148"/>
      <c r="GK23" s="204"/>
      <c r="GP23" s="144"/>
      <c r="GT23" s="203"/>
      <c r="GU23" s="208"/>
      <c r="GV23" s="192"/>
      <c r="GW23" s="148"/>
      <c r="HA23" s="204"/>
      <c r="HF23" s="144"/>
      <c r="HJ23" s="203"/>
      <c r="HK23" s="208"/>
      <c r="HL23" s="192"/>
      <c r="HM23" s="148"/>
      <c r="HQ23" s="204"/>
      <c r="HV23" s="144"/>
      <c r="HZ23" s="203"/>
      <c r="IA23" s="208"/>
      <c r="IB23" s="192"/>
      <c r="IC23" s="148"/>
    </row>
    <row r="24" spans="1:237" s="202" customFormat="1" ht="15">
      <c r="A24" s="590"/>
      <c r="B24" s="496"/>
      <c r="C24" s="496" t="s">
        <v>22</v>
      </c>
      <c r="D24" s="496"/>
      <c r="E24" s="496"/>
      <c r="F24" s="496"/>
      <c r="G24" s="496"/>
      <c r="H24" s="496"/>
      <c r="I24" s="496"/>
      <c r="J24" s="496"/>
      <c r="K24" s="496"/>
      <c r="L24" s="496"/>
      <c r="M24" s="26"/>
      <c r="N24" s="44"/>
      <c r="O24" s="86"/>
      <c r="P24" s="296"/>
      <c r="Q24" s="298"/>
      <c r="R24" s="489"/>
      <c r="S24" s="489"/>
      <c r="V24" s="144"/>
      <c r="Z24" s="203"/>
      <c r="AA24" s="208"/>
      <c r="AB24" s="192"/>
      <c r="AC24" s="148"/>
      <c r="AG24" s="204"/>
      <c r="AL24" s="144"/>
      <c r="AP24" s="203"/>
      <c r="AQ24" s="208"/>
      <c r="AR24" s="192"/>
      <c r="AS24" s="148"/>
      <c r="AW24" s="204"/>
      <c r="BB24" s="144"/>
      <c r="BF24" s="203"/>
      <c r="BG24" s="208"/>
      <c r="BH24" s="192"/>
      <c r="BI24" s="148"/>
      <c r="BM24" s="204"/>
      <c r="BR24" s="144"/>
      <c r="BV24" s="203"/>
      <c r="BW24" s="208"/>
      <c r="BX24" s="192"/>
      <c r="BY24" s="148"/>
      <c r="CC24" s="204"/>
      <c r="CH24" s="144"/>
      <c r="CL24" s="203"/>
      <c r="CM24" s="208"/>
      <c r="CN24" s="192"/>
      <c r="CO24" s="148"/>
      <c r="CS24" s="204"/>
      <c r="CX24" s="144"/>
      <c r="DB24" s="203"/>
      <c r="DC24" s="208"/>
      <c r="DD24" s="192"/>
      <c r="DE24" s="148"/>
      <c r="DI24" s="204"/>
      <c r="DN24" s="144"/>
      <c r="DR24" s="203"/>
      <c r="DS24" s="208"/>
      <c r="DT24" s="192"/>
      <c r="DU24" s="148"/>
      <c r="DY24" s="204"/>
      <c r="ED24" s="144"/>
      <c r="EH24" s="203"/>
      <c r="EI24" s="208"/>
      <c r="EJ24" s="192"/>
      <c r="EK24" s="148"/>
      <c r="EO24" s="204"/>
      <c r="ET24" s="144"/>
      <c r="EX24" s="203"/>
      <c r="EY24" s="208"/>
      <c r="EZ24" s="192"/>
      <c r="FA24" s="148"/>
      <c r="FE24" s="204"/>
      <c r="FJ24" s="144"/>
      <c r="FN24" s="203"/>
      <c r="FO24" s="208"/>
      <c r="FP24" s="192"/>
      <c r="FQ24" s="148"/>
      <c r="FU24" s="204"/>
      <c r="FZ24" s="144"/>
      <c r="GD24" s="203"/>
      <c r="GE24" s="208"/>
      <c r="GF24" s="192"/>
      <c r="GG24" s="148"/>
      <c r="GK24" s="204"/>
      <c r="GP24" s="144"/>
      <c r="GT24" s="203"/>
      <c r="GU24" s="208"/>
      <c r="GV24" s="192"/>
      <c r="GW24" s="148"/>
      <c r="HA24" s="204"/>
      <c r="HF24" s="144"/>
      <c r="HJ24" s="203"/>
      <c r="HK24" s="208"/>
      <c r="HL24" s="192"/>
      <c r="HM24" s="148"/>
      <c r="HQ24" s="204"/>
      <c r="HV24" s="144"/>
      <c r="HZ24" s="203"/>
      <c r="IA24" s="208"/>
      <c r="IB24" s="192"/>
      <c r="IC24" s="148"/>
    </row>
    <row r="25" spans="1:237" s="202" customFormat="1" ht="16.5" customHeight="1">
      <c r="A25" s="489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95"/>
      <c r="Q25" s="495"/>
      <c r="R25" s="489"/>
      <c r="S25" s="489"/>
      <c r="T25" s="142"/>
      <c r="U25" s="141"/>
      <c r="V25" s="134"/>
      <c r="W25" s="141"/>
      <c r="X25" s="134"/>
      <c r="Y25" s="143"/>
      <c r="Z25" s="139"/>
      <c r="AA25" s="208"/>
      <c r="AB25" s="146"/>
      <c r="AC25" s="148"/>
      <c r="AD25" s="141"/>
      <c r="AE25" s="141"/>
      <c r="AF25" s="141"/>
      <c r="AG25" s="142"/>
      <c r="AH25" s="143"/>
      <c r="AI25" s="143"/>
      <c r="AJ25" s="142"/>
      <c r="AK25" s="141"/>
      <c r="AL25" s="134"/>
      <c r="AM25" s="141"/>
      <c r="AN25" s="134"/>
      <c r="AO25" s="143"/>
      <c r="AP25" s="139"/>
      <c r="AQ25" s="208"/>
      <c r="AR25" s="146"/>
      <c r="AS25" s="148"/>
      <c r="AT25" s="141"/>
      <c r="AU25" s="141"/>
      <c r="AV25" s="141"/>
      <c r="AW25" s="142"/>
      <c r="AX25" s="143"/>
      <c r="AY25" s="143"/>
      <c r="AZ25" s="142"/>
      <c r="BA25" s="141"/>
      <c r="BB25" s="134"/>
      <c r="BC25" s="141"/>
      <c r="BD25" s="134"/>
      <c r="BE25" s="143"/>
      <c r="BF25" s="139"/>
      <c r="BG25" s="208"/>
      <c r="BH25" s="146"/>
      <c r="BI25" s="148"/>
      <c r="BJ25" s="141"/>
      <c r="BK25" s="141"/>
      <c r="BL25" s="141"/>
      <c r="BM25" s="142"/>
      <c r="BN25" s="143"/>
      <c r="BO25" s="143"/>
      <c r="BP25" s="142"/>
      <c r="BQ25" s="141"/>
      <c r="BR25" s="134"/>
      <c r="BS25" s="141"/>
      <c r="BT25" s="134"/>
      <c r="BU25" s="143"/>
      <c r="BV25" s="139"/>
      <c r="BW25" s="208"/>
      <c r="BX25" s="146"/>
      <c r="BY25" s="148"/>
      <c r="BZ25" s="141"/>
      <c r="CA25" s="141"/>
      <c r="CB25" s="141"/>
      <c r="CC25" s="142"/>
      <c r="CD25" s="143"/>
      <c r="CE25" s="143"/>
      <c r="CF25" s="142"/>
      <c r="CG25" s="141"/>
      <c r="CH25" s="134"/>
      <c r="CI25" s="141"/>
      <c r="CJ25" s="134"/>
      <c r="CK25" s="143"/>
      <c r="CL25" s="139"/>
      <c r="CM25" s="208"/>
      <c r="CN25" s="146"/>
      <c r="CO25" s="148"/>
      <c r="CP25" s="141"/>
      <c r="CQ25" s="141"/>
      <c r="CR25" s="141"/>
      <c r="CS25" s="142"/>
      <c r="CT25" s="143"/>
      <c r="CU25" s="143"/>
      <c r="CV25" s="142"/>
      <c r="CW25" s="141"/>
      <c r="CX25" s="134"/>
      <c r="CY25" s="141"/>
      <c r="CZ25" s="134"/>
      <c r="DA25" s="143"/>
      <c r="DB25" s="139"/>
      <c r="DC25" s="208"/>
      <c r="DD25" s="146"/>
      <c r="DE25" s="148"/>
      <c r="DF25" s="141"/>
      <c r="DG25" s="141"/>
      <c r="DH25" s="141"/>
      <c r="DI25" s="142"/>
      <c r="DJ25" s="143"/>
      <c r="DK25" s="143"/>
      <c r="DL25" s="142"/>
      <c r="DM25" s="141"/>
      <c r="DN25" s="134"/>
      <c r="DO25" s="141"/>
      <c r="DP25" s="134"/>
      <c r="DQ25" s="143"/>
      <c r="DR25" s="139"/>
      <c r="DS25" s="208"/>
      <c r="DT25" s="146"/>
      <c r="DU25" s="148"/>
      <c r="DV25" s="141"/>
      <c r="DW25" s="141"/>
      <c r="DX25" s="141"/>
      <c r="DY25" s="142"/>
      <c r="DZ25" s="143"/>
      <c r="EA25" s="143"/>
      <c r="EB25" s="142"/>
      <c r="EC25" s="141"/>
      <c r="ED25" s="134"/>
      <c r="EE25" s="141"/>
      <c r="EF25" s="134"/>
      <c r="EG25" s="143"/>
      <c r="EH25" s="139"/>
      <c r="EI25" s="208"/>
      <c r="EJ25" s="146"/>
      <c r="EK25" s="148"/>
      <c r="EL25" s="141"/>
      <c r="EM25" s="141"/>
      <c r="EN25" s="141"/>
      <c r="EO25" s="142"/>
      <c r="EP25" s="143"/>
      <c r="EQ25" s="143"/>
      <c r="ER25" s="142"/>
      <c r="ES25" s="141"/>
      <c r="ET25" s="134"/>
      <c r="EU25" s="141"/>
      <c r="EV25" s="134"/>
      <c r="EW25" s="143"/>
      <c r="EX25" s="139"/>
      <c r="EY25" s="208"/>
      <c r="EZ25" s="146"/>
      <c r="FA25" s="148"/>
      <c r="FB25" s="141"/>
      <c r="FC25" s="141"/>
      <c r="FD25" s="141"/>
      <c r="FE25" s="142"/>
      <c r="FF25" s="143"/>
      <c r="FG25" s="143"/>
      <c r="FH25" s="142"/>
      <c r="FI25" s="141"/>
      <c r="FJ25" s="134"/>
      <c r="FK25" s="141"/>
      <c r="FL25" s="134"/>
      <c r="FM25" s="143"/>
      <c r="FN25" s="139"/>
      <c r="FO25" s="208"/>
      <c r="FP25" s="146"/>
      <c r="FQ25" s="148"/>
      <c r="FR25" s="141"/>
      <c r="FS25" s="141"/>
      <c r="FT25" s="141"/>
      <c r="FU25" s="142"/>
      <c r="FV25" s="143"/>
      <c r="FW25" s="143"/>
      <c r="FX25" s="142"/>
      <c r="FY25" s="141"/>
      <c r="FZ25" s="134"/>
      <c r="GA25" s="141"/>
      <c r="GB25" s="134"/>
      <c r="GC25" s="143"/>
      <c r="GD25" s="139"/>
      <c r="GE25" s="208"/>
      <c r="GF25" s="146"/>
      <c r="GG25" s="148"/>
      <c r="GH25" s="141"/>
      <c r="GI25" s="141"/>
      <c r="GJ25" s="141"/>
      <c r="GK25" s="142"/>
      <c r="GL25" s="143"/>
      <c r="GM25" s="143"/>
      <c r="GN25" s="142"/>
      <c r="GO25" s="141"/>
      <c r="GP25" s="134"/>
      <c r="GQ25" s="141"/>
      <c r="GR25" s="134"/>
      <c r="GS25" s="143"/>
      <c r="GT25" s="139"/>
      <c r="GU25" s="208"/>
      <c r="GV25" s="146"/>
      <c r="GW25" s="148"/>
      <c r="GX25" s="141"/>
      <c r="GY25" s="141"/>
      <c r="GZ25" s="141"/>
      <c r="HA25" s="142"/>
      <c r="HB25" s="143"/>
      <c r="HC25" s="143"/>
      <c r="HD25" s="142"/>
      <c r="HE25" s="141"/>
      <c r="HF25" s="134"/>
      <c r="HG25" s="141"/>
      <c r="HH25" s="134"/>
      <c r="HI25" s="143"/>
      <c r="HJ25" s="139"/>
      <c r="HK25" s="208"/>
      <c r="HL25" s="146"/>
      <c r="HM25" s="148"/>
      <c r="HN25" s="141"/>
      <c r="HO25" s="141"/>
      <c r="HP25" s="141"/>
      <c r="HQ25" s="142"/>
      <c r="HR25" s="143"/>
      <c r="HS25" s="143"/>
      <c r="HT25" s="142"/>
      <c r="HU25" s="141"/>
      <c r="HV25" s="134"/>
      <c r="HW25" s="141"/>
      <c r="HX25" s="134"/>
      <c r="HY25" s="143"/>
      <c r="HZ25" s="139"/>
      <c r="IA25" s="208"/>
      <c r="IB25" s="146"/>
      <c r="IC25" s="148"/>
    </row>
    <row r="26" spans="1:237" s="202" customFormat="1" ht="12.75" customHeight="1">
      <c r="A26" s="355"/>
      <c r="B26" s="588" t="s">
        <v>198</v>
      </c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352"/>
      <c r="P26" s="358"/>
      <c r="Q26" s="358"/>
      <c r="R26" s="352"/>
      <c r="S26" s="352"/>
      <c r="T26" s="141"/>
      <c r="U26" s="141"/>
      <c r="V26" s="141"/>
      <c r="W26" s="141"/>
      <c r="X26" s="141"/>
      <c r="Y26" s="141"/>
      <c r="Z26" s="139"/>
      <c r="AA26" s="212"/>
      <c r="AB26" s="146"/>
      <c r="AC26" s="147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39"/>
      <c r="AQ26" s="212"/>
      <c r="AR26" s="146"/>
      <c r="AS26" s="147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39"/>
      <c r="BG26" s="212"/>
      <c r="BH26" s="146"/>
      <c r="BI26" s="147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39"/>
      <c r="BW26" s="212"/>
      <c r="BX26" s="146"/>
      <c r="BY26" s="147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39"/>
      <c r="CM26" s="212"/>
      <c r="CN26" s="146"/>
      <c r="CO26" s="147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39"/>
      <c r="DC26" s="212"/>
      <c r="DD26" s="146"/>
      <c r="DE26" s="147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39"/>
      <c r="DS26" s="212"/>
      <c r="DT26" s="146"/>
      <c r="DU26" s="147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39"/>
      <c r="EI26" s="212"/>
      <c r="EJ26" s="146"/>
      <c r="EK26" s="147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39"/>
      <c r="EY26" s="212"/>
      <c r="EZ26" s="146"/>
      <c r="FA26" s="147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39"/>
      <c r="FO26" s="212"/>
      <c r="FP26" s="146"/>
      <c r="FQ26" s="147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39"/>
      <c r="GE26" s="212"/>
      <c r="GF26" s="146"/>
      <c r="GG26" s="147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39"/>
      <c r="GU26" s="212"/>
      <c r="GV26" s="146"/>
      <c r="GW26" s="147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39"/>
      <c r="HK26" s="212"/>
      <c r="HL26" s="146"/>
      <c r="HM26" s="147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39"/>
      <c r="IA26" s="212"/>
      <c r="IB26" s="146"/>
      <c r="IC26" s="147"/>
    </row>
    <row r="27" spans="1:17" s="202" customFormat="1" ht="15" customHeight="1">
      <c r="A27" s="590" t="s">
        <v>194</v>
      </c>
      <c r="B27" s="353"/>
      <c r="C27" s="353"/>
      <c r="D27" s="590" t="s">
        <v>7</v>
      </c>
      <c r="E27" s="590"/>
      <c r="F27" s="590" t="s">
        <v>39</v>
      </c>
      <c r="G27" s="592" t="s">
        <v>20</v>
      </c>
      <c r="H27" s="592" t="s">
        <v>147</v>
      </c>
      <c r="I27" s="590" t="s">
        <v>9</v>
      </c>
      <c r="J27" s="590"/>
      <c r="K27" s="590" t="s">
        <v>13</v>
      </c>
      <c r="L27" s="590"/>
      <c r="M27" s="591"/>
      <c r="N27" s="599" t="s">
        <v>208</v>
      </c>
      <c r="O27" s="599"/>
      <c r="P27" s="587" t="s">
        <v>127</v>
      </c>
      <c r="Q27" s="587"/>
    </row>
    <row r="28" spans="1:19" s="202" customFormat="1" ht="180">
      <c r="A28" s="590"/>
      <c r="B28" s="353"/>
      <c r="C28" s="353"/>
      <c r="D28" s="353" t="s">
        <v>8</v>
      </c>
      <c r="E28" s="353" t="s">
        <v>11</v>
      </c>
      <c r="F28" s="590"/>
      <c r="G28" s="593"/>
      <c r="H28" s="593"/>
      <c r="I28" s="353" t="s">
        <v>8</v>
      </c>
      <c r="J28" s="353" t="s">
        <v>10</v>
      </c>
      <c r="K28" s="353" t="s">
        <v>14</v>
      </c>
      <c r="L28" s="353" t="s">
        <v>12</v>
      </c>
      <c r="M28" s="357" t="s">
        <v>15</v>
      </c>
      <c r="N28" s="356" t="s">
        <v>8</v>
      </c>
      <c r="O28" s="356" t="s">
        <v>10</v>
      </c>
      <c r="P28" s="351" t="s">
        <v>8</v>
      </c>
      <c r="Q28" s="351" t="s">
        <v>10</v>
      </c>
      <c r="R28" s="595"/>
      <c r="S28" s="595"/>
    </row>
    <row r="29" spans="1:19" ht="15">
      <c r="A29" s="590"/>
      <c r="B29" s="353">
        <v>1</v>
      </c>
      <c r="C29" s="353" t="s">
        <v>0</v>
      </c>
      <c r="D29" s="351">
        <v>0</v>
      </c>
      <c r="E29" s="48">
        <f>D29/22</f>
        <v>0</v>
      </c>
      <c r="F29" s="68" t="e">
        <f>163/D29</f>
        <v>#DIV/0!</v>
      </c>
      <c r="G29" s="68" t="e">
        <f>103/D29</f>
        <v>#DIV/0!</v>
      </c>
      <c r="H29" s="65" t="e">
        <f aca="true" t="shared" si="0" ref="H29:H34">G29/60</f>
        <v>#DIV/0!</v>
      </c>
      <c r="I29" s="351">
        <v>0</v>
      </c>
      <c r="J29" s="65" t="e">
        <f aca="true" t="shared" si="1" ref="J29:J35">I29/D29</f>
        <v>#DIV/0!</v>
      </c>
      <c r="K29" s="351">
        <v>0</v>
      </c>
      <c r="L29" s="48">
        <f aca="true" t="shared" si="2" ref="L29:L34">K29/4</f>
        <v>0</v>
      </c>
      <c r="M29" s="366">
        <v>0</v>
      </c>
      <c r="N29" s="351">
        <v>0</v>
      </c>
      <c r="O29" s="295" t="e">
        <f aca="true" t="shared" si="3" ref="O29:O35">N29/D29</f>
        <v>#DIV/0!</v>
      </c>
      <c r="P29" s="351">
        <v>0</v>
      </c>
      <c r="Q29" s="295" t="e">
        <f aca="true" t="shared" si="4" ref="Q29:Q34">P29/D29</f>
        <v>#DIV/0!</v>
      </c>
      <c r="R29" s="595"/>
      <c r="S29" s="595"/>
    </row>
    <row r="30" spans="1:19" ht="15">
      <c r="A30" s="590"/>
      <c r="B30" s="353">
        <v>2</v>
      </c>
      <c r="C30" s="353" t="s">
        <v>1</v>
      </c>
      <c r="D30" s="351">
        <v>12</v>
      </c>
      <c r="E30" s="48">
        <f>D30/21</f>
        <v>0.5714285714285714</v>
      </c>
      <c r="F30" s="284">
        <f>770/D30</f>
        <v>64.16666666666667</v>
      </c>
      <c r="G30" s="68">
        <f>449/D30</f>
        <v>37.416666666666664</v>
      </c>
      <c r="H30" s="65">
        <f t="shared" si="0"/>
        <v>0.6236111111111111</v>
      </c>
      <c r="I30" s="105">
        <v>1</v>
      </c>
      <c r="J30" s="314">
        <f t="shared" si="1"/>
        <v>0.08333333333333333</v>
      </c>
      <c r="K30" s="351">
        <v>12</v>
      </c>
      <c r="L30" s="316">
        <f>K30/13</f>
        <v>0.9230769230769231</v>
      </c>
      <c r="M30" s="367">
        <f>770/K30</f>
        <v>64.16666666666667</v>
      </c>
      <c r="N30" s="351">
        <v>7</v>
      </c>
      <c r="O30" s="305">
        <f t="shared" si="3"/>
        <v>0.5833333333333334</v>
      </c>
      <c r="P30" s="351">
        <v>3</v>
      </c>
      <c r="Q30" s="305">
        <f t="shared" si="4"/>
        <v>0.25</v>
      </c>
      <c r="R30" s="205"/>
      <c r="S30" s="205"/>
    </row>
    <row r="31" spans="1:19" ht="15">
      <c r="A31" s="590"/>
      <c r="B31" s="353">
        <v>3</v>
      </c>
      <c r="C31" s="353" t="s">
        <v>2</v>
      </c>
      <c r="D31" s="351">
        <v>1</v>
      </c>
      <c r="E31" s="48">
        <f>D31/27</f>
        <v>0.037037037037037035</v>
      </c>
      <c r="F31" s="284">
        <f>67/D31</f>
        <v>67</v>
      </c>
      <c r="G31" s="68">
        <f>41/D31</f>
        <v>41</v>
      </c>
      <c r="H31" s="65">
        <f t="shared" si="0"/>
        <v>0.6833333333333333</v>
      </c>
      <c r="I31" s="351">
        <v>0</v>
      </c>
      <c r="J31" s="65">
        <f t="shared" si="1"/>
        <v>0</v>
      </c>
      <c r="K31" s="351">
        <v>0</v>
      </c>
      <c r="L31" s="48">
        <f t="shared" si="2"/>
        <v>0</v>
      </c>
      <c r="M31" s="366">
        <v>0</v>
      </c>
      <c r="N31" s="351">
        <v>1</v>
      </c>
      <c r="O31" s="305">
        <f t="shared" si="3"/>
        <v>1</v>
      </c>
      <c r="P31" s="351">
        <v>0</v>
      </c>
      <c r="Q31" s="295">
        <f t="shared" si="4"/>
        <v>0</v>
      </c>
      <c r="R31" s="205"/>
      <c r="S31" s="205"/>
    </row>
    <row r="32" spans="1:19" ht="58.5" customHeight="1">
      <c r="A32" s="590"/>
      <c r="B32" s="353">
        <v>4</v>
      </c>
      <c r="C32" s="353" t="s">
        <v>3</v>
      </c>
      <c r="D32" s="351">
        <v>2</v>
      </c>
      <c r="E32" s="48">
        <f>D32/26</f>
        <v>0.07692307692307693</v>
      </c>
      <c r="F32" s="68">
        <f>113/D32</f>
        <v>56.5</v>
      </c>
      <c r="G32" s="68">
        <f>62/D32</f>
        <v>31</v>
      </c>
      <c r="H32" s="65">
        <f t="shared" si="0"/>
        <v>0.5166666666666667</v>
      </c>
      <c r="I32" s="351">
        <v>0</v>
      </c>
      <c r="J32" s="65">
        <f t="shared" si="1"/>
        <v>0</v>
      </c>
      <c r="K32" s="351">
        <v>2</v>
      </c>
      <c r="L32" s="48">
        <f>K32/3</f>
        <v>0.6666666666666666</v>
      </c>
      <c r="M32" s="367">
        <f>113/D32</f>
        <v>56.5</v>
      </c>
      <c r="N32" s="351">
        <v>1</v>
      </c>
      <c r="O32" s="295">
        <f t="shared" si="3"/>
        <v>0.5</v>
      </c>
      <c r="P32" s="351">
        <v>0</v>
      </c>
      <c r="Q32" s="295">
        <f t="shared" si="4"/>
        <v>0</v>
      </c>
      <c r="R32" s="202"/>
      <c r="S32" s="202"/>
    </row>
    <row r="33" spans="1:19" ht="30">
      <c r="A33" s="590"/>
      <c r="B33" s="353">
        <v>5</v>
      </c>
      <c r="C33" s="353" t="s">
        <v>4</v>
      </c>
      <c r="D33" s="351">
        <v>0</v>
      </c>
      <c r="E33" s="48">
        <f>D33/4</f>
        <v>0</v>
      </c>
      <c r="F33" s="68" t="e">
        <f>282/D33</f>
        <v>#DIV/0!</v>
      </c>
      <c r="G33" s="351">
        <v>0</v>
      </c>
      <c r="H33" s="65">
        <f t="shared" si="0"/>
        <v>0</v>
      </c>
      <c r="I33" s="351">
        <v>0</v>
      </c>
      <c r="J33" s="65" t="e">
        <f t="shared" si="1"/>
        <v>#DIV/0!</v>
      </c>
      <c r="K33" s="351">
        <v>0</v>
      </c>
      <c r="L33" s="48">
        <f t="shared" si="2"/>
        <v>0</v>
      </c>
      <c r="M33" s="354">
        <v>0</v>
      </c>
      <c r="N33" s="351">
        <v>0</v>
      </c>
      <c r="O33" s="295" t="e">
        <f t="shared" si="3"/>
        <v>#DIV/0!</v>
      </c>
      <c r="P33" s="351">
        <v>0</v>
      </c>
      <c r="Q33" s="295" t="e">
        <f t="shared" si="4"/>
        <v>#DIV/0!</v>
      </c>
      <c r="R33" s="205"/>
      <c r="S33" s="205"/>
    </row>
    <row r="34" spans="1:19" ht="30" customHeight="1">
      <c r="A34" s="590"/>
      <c r="B34" s="353">
        <v>6</v>
      </c>
      <c r="C34" s="353" t="s">
        <v>5</v>
      </c>
      <c r="D34" s="351">
        <v>0</v>
      </c>
      <c r="E34" s="48" t="e">
        <f>D34/0</f>
        <v>#DIV/0!</v>
      </c>
      <c r="F34" s="68" t="e">
        <f>282/D34</f>
        <v>#DIV/0!</v>
      </c>
      <c r="G34" s="351">
        <v>0</v>
      </c>
      <c r="H34" s="65">
        <f t="shared" si="0"/>
        <v>0</v>
      </c>
      <c r="I34" s="351">
        <v>0</v>
      </c>
      <c r="J34" s="65" t="e">
        <f t="shared" si="1"/>
        <v>#DIV/0!</v>
      </c>
      <c r="K34" s="351">
        <v>0</v>
      </c>
      <c r="L34" s="48">
        <f t="shared" si="2"/>
        <v>0</v>
      </c>
      <c r="M34" s="354">
        <v>0</v>
      </c>
      <c r="N34" s="351">
        <v>0</v>
      </c>
      <c r="O34" s="295" t="e">
        <f t="shared" si="3"/>
        <v>#DIV/0!</v>
      </c>
      <c r="P34" s="351">
        <v>0</v>
      </c>
      <c r="Q34" s="295" t="e">
        <f t="shared" si="4"/>
        <v>#DIV/0!</v>
      </c>
      <c r="R34" s="202"/>
      <c r="S34" s="202"/>
    </row>
    <row r="35" spans="1:19" s="4" customFormat="1" ht="15">
      <c r="A35" s="590"/>
      <c r="B35" s="290"/>
      <c r="C35" s="290" t="s">
        <v>6</v>
      </c>
      <c r="D35" s="296">
        <f>SUM(D29:D34)</f>
        <v>15</v>
      </c>
      <c r="E35" s="171">
        <f>D35/100</f>
        <v>0.15</v>
      </c>
      <c r="F35" s="287">
        <f>950/D35</f>
        <v>63.333333333333336</v>
      </c>
      <c r="G35" s="149">
        <f>552/D35</f>
        <v>36.8</v>
      </c>
      <c r="H35" s="171">
        <f>552/(D35*60)</f>
        <v>0.6133333333333333</v>
      </c>
      <c r="I35" s="296">
        <f>SUM(I29:I34)</f>
        <v>1</v>
      </c>
      <c r="J35" s="83">
        <f t="shared" si="1"/>
        <v>0.06666666666666667</v>
      </c>
      <c r="K35" s="296">
        <f>SUM(K29:K34)</f>
        <v>14</v>
      </c>
      <c r="L35" s="83">
        <f>K35/16</f>
        <v>0.875</v>
      </c>
      <c r="M35" s="368">
        <f>883/K35</f>
        <v>63.07142857142857</v>
      </c>
      <c r="N35" s="296">
        <f>SUM(N29:N34)</f>
        <v>9</v>
      </c>
      <c r="O35" s="295">
        <f t="shared" si="3"/>
        <v>0.6</v>
      </c>
      <c r="P35" s="296">
        <f>SUM(P29:P34)</f>
        <v>3</v>
      </c>
      <c r="Q35" s="295">
        <f>P35/D35</f>
        <v>0.2</v>
      </c>
      <c r="R35" s="202"/>
      <c r="S35" s="202"/>
    </row>
    <row r="36" spans="1:19" s="22" customFormat="1" ht="16.5" customHeight="1">
      <c r="A36" s="590"/>
      <c r="B36" s="290"/>
      <c r="C36" s="290" t="s">
        <v>22</v>
      </c>
      <c r="D36" s="290"/>
      <c r="E36" s="290"/>
      <c r="F36" s="290">
        <v>63.49</v>
      </c>
      <c r="G36" s="290"/>
      <c r="H36" s="290"/>
      <c r="I36" s="290"/>
      <c r="J36" s="290"/>
      <c r="K36" s="290"/>
      <c r="L36" s="290"/>
      <c r="M36" s="26"/>
      <c r="N36" s="44"/>
      <c r="O36" s="86"/>
      <c r="P36" s="296"/>
      <c r="Q36" s="298"/>
      <c r="R36" s="143"/>
      <c r="S36" s="143"/>
    </row>
    <row r="37" spans="1:19" ht="15">
      <c r="A37" s="35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8"/>
      <c r="Q37" s="358"/>
      <c r="R37" s="141"/>
      <c r="S37" s="141"/>
    </row>
    <row r="38" spans="1:19" ht="15">
      <c r="A38" s="202"/>
      <c r="B38" s="588" t="s">
        <v>146</v>
      </c>
      <c r="C38" s="589"/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R38" s="202"/>
      <c r="S38" s="202"/>
    </row>
    <row r="39" spans="1:19" ht="15">
      <c r="A39" s="590" t="s">
        <v>140</v>
      </c>
      <c r="B39" s="189"/>
      <c r="C39" s="189"/>
      <c r="D39" s="590" t="s">
        <v>7</v>
      </c>
      <c r="E39" s="590"/>
      <c r="F39" s="590" t="s">
        <v>39</v>
      </c>
      <c r="G39" s="592" t="s">
        <v>20</v>
      </c>
      <c r="H39" s="592" t="s">
        <v>147</v>
      </c>
      <c r="I39" s="590" t="s">
        <v>9</v>
      </c>
      <c r="J39" s="590"/>
      <c r="K39" s="590" t="s">
        <v>13</v>
      </c>
      <c r="L39" s="590"/>
      <c r="M39" s="591"/>
      <c r="N39" s="599" t="s">
        <v>166</v>
      </c>
      <c r="O39" s="599"/>
      <c r="P39" s="587" t="s">
        <v>127</v>
      </c>
      <c r="Q39" s="587"/>
      <c r="R39" s="202"/>
      <c r="S39" s="202"/>
    </row>
    <row r="40" spans="1:17" ht="180">
      <c r="A40" s="590"/>
      <c r="B40" s="189"/>
      <c r="C40" s="189"/>
      <c r="D40" s="189" t="s">
        <v>8</v>
      </c>
      <c r="E40" s="189" t="s">
        <v>11</v>
      </c>
      <c r="F40" s="590"/>
      <c r="G40" s="593"/>
      <c r="H40" s="593"/>
      <c r="I40" s="189" t="s">
        <v>8</v>
      </c>
      <c r="J40" s="189" t="s">
        <v>10</v>
      </c>
      <c r="K40" s="189" t="s">
        <v>14</v>
      </c>
      <c r="L40" s="189" t="s">
        <v>12</v>
      </c>
      <c r="M40" s="190" t="s">
        <v>15</v>
      </c>
      <c r="N40" s="275" t="s">
        <v>8</v>
      </c>
      <c r="O40" s="275" t="s">
        <v>10</v>
      </c>
      <c r="P40" s="186" t="s">
        <v>8</v>
      </c>
      <c r="Q40" s="186" t="s">
        <v>10</v>
      </c>
    </row>
    <row r="41" spans="1:17" ht="15">
      <c r="A41" s="590"/>
      <c r="B41" s="189">
        <v>1</v>
      </c>
      <c r="C41" s="189" t="s">
        <v>0</v>
      </c>
      <c r="D41" s="189">
        <v>2</v>
      </c>
      <c r="E41" s="7">
        <f>D41/51</f>
        <v>0.0392156862745098</v>
      </c>
      <c r="F41" s="193">
        <f>163/D41</f>
        <v>81.5</v>
      </c>
      <c r="G41" s="193">
        <f>103/D41</f>
        <v>51.5</v>
      </c>
      <c r="H41" s="191">
        <f>G41/60</f>
        <v>0.8583333333333333</v>
      </c>
      <c r="I41" s="189">
        <v>0</v>
      </c>
      <c r="J41" s="191">
        <f>I41/D41</f>
        <v>0</v>
      </c>
      <c r="K41" s="189">
        <v>0</v>
      </c>
      <c r="L41" s="7">
        <f>K41/4</f>
        <v>0</v>
      </c>
      <c r="M41" s="25">
        <v>0</v>
      </c>
      <c r="N41" s="275">
        <v>2</v>
      </c>
      <c r="O41" s="43">
        <f>N41/D41</f>
        <v>1</v>
      </c>
      <c r="P41" s="186">
        <v>1</v>
      </c>
      <c r="Q41" s="49">
        <f>P41/D41</f>
        <v>0.5</v>
      </c>
    </row>
    <row r="42" spans="1:17" ht="15">
      <c r="A42" s="590"/>
      <c r="B42" s="189">
        <v>2</v>
      </c>
      <c r="C42" s="189" t="s">
        <v>1</v>
      </c>
      <c r="D42" s="189">
        <v>4</v>
      </c>
      <c r="E42" s="7">
        <f>D42/19</f>
        <v>0.21052631578947367</v>
      </c>
      <c r="F42" s="285">
        <f>282/D42</f>
        <v>70.5</v>
      </c>
      <c r="G42" s="193">
        <f>174/D42</f>
        <v>43.5</v>
      </c>
      <c r="H42" s="191">
        <f>G42/60</f>
        <v>0.725</v>
      </c>
      <c r="I42" s="189">
        <v>0</v>
      </c>
      <c r="J42" s="191">
        <f>I42/D42</f>
        <v>0</v>
      </c>
      <c r="K42" s="189">
        <v>4</v>
      </c>
      <c r="L42" s="191">
        <f>K42/7</f>
        <v>0.5714285714285714</v>
      </c>
      <c r="M42" s="164">
        <f>282/D42</f>
        <v>70.5</v>
      </c>
      <c r="N42" s="275">
        <v>2</v>
      </c>
      <c r="O42" s="43">
        <f>N42/D42</f>
        <v>0.5</v>
      </c>
      <c r="P42" s="186">
        <v>1</v>
      </c>
      <c r="Q42" s="65">
        <f>P42/D42</f>
        <v>0.25</v>
      </c>
    </row>
    <row r="43" spans="1:17" ht="15">
      <c r="A43" s="590"/>
      <c r="B43" s="189">
        <v>3</v>
      </c>
      <c r="C43" s="189" t="s">
        <v>2</v>
      </c>
      <c r="D43" s="189"/>
      <c r="E43" s="7">
        <f>D43/26</f>
        <v>0</v>
      </c>
      <c r="F43" s="189"/>
      <c r="G43" s="189"/>
      <c r="H43" s="189"/>
      <c r="I43" s="189"/>
      <c r="J43" s="191"/>
      <c r="K43" s="189"/>
      <c r="L43" s="7"/>
      <c r="M43" s="25"/>
      <c r="N43" s="275"/>
      <c r="O43" s="43"/>
      <c r="P43" s="186"/>
      <c r="Q43" s="49"/>
    </row>
    <row r="44" spans="1:17" ht="15">
      <c r="A44" s="590"/>
      <c r="B44" s="189">
        <v>4</v>
      </c>
      <c r="C44" s="189" t="s">
        <v>3</v>
      </c>
      <c r="D44" s="189">
        <v>3</v>
      </c>
      <c r="E44" s="7">
        <f>D44/25</f>
        <v>0.12</v>
      </c>
      <c r="F44" s="284">
        <f>220/D44</f>
        <v>73.33333333333333</v>
      </c>
      <c r="G44" s="193">
        <f>135/D44</f>
        <v>45</v>
      </c>
      <c r="H44" s="191">
        <f>G44/60</f>
        <v>0.75</v>
      </c>
      <c r="I44" s="189">
        <v>0</v>
      </c>
      <c r="J44" s="191">
        <f>I44/D44</f>
        <v>0</v>
      </c>
      <c r="K44" s="189">
        <v>3</v>
      </c>
      <c r="L44" s="191">
        <f>K44/7</f>
        <v>0.42857142857142855</v>
      </c>
      <c r="M44" s="164">
        <f>220/D44</f>
        <v>73.33333333333333</v>
      </c>
      <c r="N44" s="275">
        <v>2</v>
      </c>
      <c r="O44" s="85">
        <f>N44/D44</f>
        <v>0.6666666666666666</v>
      </c>
      <c r="P44" s="186">
        <v>1</v>
      </c>
      <c r="Q44" s="63">
        <f>P44/D44</f>
        <v>0.3333333333333333</v>
      </c>
    </row>
    <row r="45" spans="1:17" ht="30">
      <c r="A45" s="590"/>
      <c r="B45" s="189">
        <v>5</v>
      </c>
      <c r="C45" s="189" t="s">
        <v>4</v>
      </c>
      <c r="D45" s="189"/>
      <c r="E45" s="7"/>
      <c r="F45" s="189"/>
      <c r="G45" s="189"/>
      <c r="H45" s="189"/>
      <c r="I45" s="189"/>
      <c r="J45" s="191"/>
      <c r="K45" s="189"/>
      <c r="L45" s="189"/>
      <c r="M45" s="190"/>
      <c r="N45" s="275"/>
      <c r="O45" s="43"/>
      <c r="P45" s="186"/>
      <c r="Q45" s="49"/>
    </row>
    <row r="46" spans="1:19" ht="30">
      <c r="A46" s="590"/>
      <c r="B46" s="189">
        <v>6</v>
      </c>
      <c r="C46" s="189" t="s">
        <v>5</v>
      </c>
      <c r="D46" s="189"/>
      <c r="E46" s="7"/>
      <c r="F46" s="189"/>
      <c r="G46" s="189"/>
      <c r="H46" s="189"/>
      <c r="I46" s="189"/>
      <c r="J46" s="191"/>
      <c r="K46" s="189"/>
      <c r="L46" s="189"/>
      <c r="M46" s="190"/>
      <c r="N46" s="275"/>
      <c r="O46" s="43"/>
      <c r="P46" s="186"/>
      <c r="Q46" s="49"/>
      <c r="R46" s="4"/>
      <c r="S46" s="4"/>
    </row>
    <row r="47" spans="1:19" ht="15">
      <c r="A47" s="590"/>
      <c r="B47" s="6"/>
      <c r="C47" s="6" t="s">
        <v>6</v>
      </c>
      <c r="D47" s="6">
        <f>SUM(D41:D46)</f>
        <v>9</v>
      </c>
      <c r="E47" s="10">
        <f>D47/123</f>
        <v>0.07317073170731707</v>
      </c>
      <c r="F47" s="280">
        <f>665/D47</f>
        <v>73.88888888888889</v>
      </c>
      <c r="G47" s="67">
        <f>412/D47</f>
        <v>45.77777777777778</v>
      </c>
      <c r="H47" s="10">
        <f>412/(D47*60)</f>
        <v>0.762962962962963</v>
      </c>
      <c r="I47" s="6">
        <v>0</v>
      </c>
      <c r="J47" s="13">
        <f>I47/D47</f>
        <v>0</v>
      </c>
      <c r="K47" s="6">
        <f>SUM(K41:K46)</f>
        <v>7</v>
      </c>
      <c r="L47" s="301">
        <f>K47/14</f>
        <v>0.5</v>
      </c>
      <c r="M47" s="307">
        <f>502/K47</f>
        <v>71.71428571428571</v>
      </c>
      <c r="N47" s="44">
        <f>SUM(N41:N46)</f>
        <v>6</v>
      </c>
      <c r="O47" s="305">
        <f>N47/D47</f>
        <v>0.6666666666666666</v>
      </c>
      <c r="P47" s="50">
        <f>SUM(P41:P46)</f>
        <v>3</v>
      </c>
      <c r="Q47" s="305">
        <f>P47/D47</f>
        <v>0.3333333333333333</v>
      </c>
      <c r="R47" s="22"/>
      <c r="S47" s="22"/>
    </row>
    <row r="48" spans="1:17" ht="15">
      <c r="A48" s="590"/>
      <c r="B48" s="6"/>
      <c r="C48" s="6" t="s">
        <v>22</v>
      </c>
      <c r="D48" s="6"/>
      <c r="E48" s="6"/>
      <c r="F48" s="6">
        <v>62.87</v>
      </c>
      <c r="G48" s="6"/>
      <c r="H48" s="6"/>
      <c r="I48" s="6"/>
      <c r="J48" s="6"/>
      <c r="K48" s="6"/>
      <c r="L48" s="6"/>
      <c r="M48" s="26"/>
      <c r="N48" s="44"/>
      <c r="O48" s="86"/>
      <c r="P48" s="50"/>
      <c r="Q48" s="66"/>
    </row>
    <row r="49" spans="1:17" ht="15">
      <c r="A49" s="605" t="s">
        <v>138</v>
      </c>
      <c r="B49" s="5"/>
      <c r="C49" s="5"/>
      <c r="D49" s="590" t="s">
        <v>7</v>
      </c>
      <c r="E49" s="590"/>
      <c r="F49" s="590" t="s">
        <v>39</v>
      </c>
      <c r="G49" s="592" t="s">
        <v>20</v>
      </c>
      <c r="H49" s="592" t="s">
        <v>65</v>
      </c>
      <c r="I49" s="590" t="s">
        <v>9</v>
      </c>
      <c r="J49" s="590"/>
      <c r="K49" s="590" t="s">
        <v>13</v>
      </c>
      <c r="L49" s="590"/>
      <c r="M49" s="591"/>
      <c r="N49" s="599" t="s">
        <v>134</v>
      </c>
      <c r="O49" s="599"/>
      <c r="P49" s="587" t="s">
        <v>127</v>
      </c>
      <c r="Q49" s="587"/>
    </row>
    <row r="50" spans="1:17" ht="180">
      <c r="A50" s="603"/>
      <c r="B50" s="5"/>
      <c r="C50" s="5"/>
      <c r="D50" s="5" t="s">
        <v>8</v>
      </c>
      <c r="E50" s="5" t="s">
        <v>11</v>
      </c>
      <c r="F50" s="590"/>
      <c r="G50" s="593"/>
      <c r="H50" s="593"/>
      <c r="I50" s="5" t="s">
        <v>8</v>
      </c>
      <c r="J50" s="5" t="s">
        <v>10</v>
      </c>
      <c r="K50" s="5" t="s">
        <v>14</v>
      </c>
      <c r="L50" s="5" t="s">
        <v>12</v>
      </c>
      <c r="M50" s="23" t="s">
        <v>15</v>
      </c>
      <c r="N50" s="275" t="s">
        <v>8</v>
      </c>
      <c r="O50" s="275" t="s">
        <v>10</v>
      </c>
      <c r="P50" s="186" t="s">
        <v>8</v>
      </c>
      <c r="Q50" s="186" t="s">
        <v>10</v>
      </c>
    </row>
    <row r="51" spans="1:17" ht="15">
      <c r="A51" s="603"/>
      <c r="B51" s="5">
        <v>1</v>
      </c>
      <c r="C51" s="5" t="s">
        <v>0</v>
      </c>
      <c r="D51" s="5">
        <v>0</v>
      </c>
      <c r="E51" s="7">
        <f>D51/25</f>
        <v>0</v>
      </c>
      <c r="F51" s="100">
        <v>0</v>
      </c>
      <c r="G51" s="100" t="e">
        <f>(37+56+14)/D51</f>
        <v>#DIV/0!</v>
      </c>
      <c r="H51" s="8">
        <v>0</v>
      </c>
      <c r="I51" s="5"/>
      <c r="J51" s="12" t="e">
        <f>I51/D51</f>
        <v>#DIV/0!</v>
      </c>
      <c r="K51" s="5">
        <v>0</v>
      </c>
      <c r="L51" s="7">
        <f>K51/4</f>
        <v>0</v>
      </c>
      <c r="M51" s="25">
        <v>0</v>
      </c>
      <c r="N51" s="275"/>
      <c r="O51" s="43" t="e">
        <f>N51/D51</f>
        <v>#DIV/0!</v>
      </c>
      <c r="P51" s="186">
        <v>0</v>
      </c>
      <c r="Q51" s="49" t="e">
        <f>P51/D51</f>
        <v>#DIV/0!</v>
      </c>
    </row>
    <row r="52" spans="1:17" ht="15">
      <c r="A52" s="603"/>
      <c r="B52" s="5">
        <v>2</v>
      </c>
      <c r="C52" s="5" t="s">
        <v>1</v>
      </c>
      <c r="D52" s="5">
        <v>8</v>
      </c>
      <c r="E52" s="7">
        <f>D52/20</f>
        <v>0.4</v>
      </c>
      <c r="F52" s="162">
        <f>613/D52</f>
        <v>76.625</v>
      </c>
      <c r="G52" s="162">
        <f>382/D52</f>
        <v>47.75</v>
      </c>
      <c r="H52" s="161">
        <f>G52/64</f>
        <v>0.74609375</v>
      </c>
      <c r="I52" s="5">
        <v>0</v>
      </c>
      <c r="J52" s="12">
        <f>I52/D52</f>
        <v>0</v>
      </c>
      <c r="K52" s="5">
        <v>8</v>
      </c>
      <c r="L52" s="12">
        <f>K52/10</f>
        <v>0.8</v>
      </c>
      <c r="M52" s="164">
        <f>613/D52</f>
        <v>76.625</v>
      </c>
      <c r="N52" s="275">
        <v>7</v>
      </c>
      <c r="O52" s="43">
        <f>N52/D52</f>
        <v>0.875</v>
      </c>
      <c r="P52" s="186">
        <v>3</v>
      </c>
      <c r="Q52" s="65">
        <f>P52/D52</f>
        <v>0.375</v>
      </c>
    </row>
    <row r="53" spans="1:17" ht="15">
      <c r="A53" s="603"/>
      <c r="B53" s="5">
        <v>3</v>
      </c>
      <c r="C53" s="5" t="s">
        <v>2</v>
      </c>
      <c r="D53" s="5"/>
      <c r="E53" s="7">
        <f>D53/29</f>
        <v>0</v>
      </c>
      <c r="F53" s="5"/>
      <c r="G53" s="96"/>
      <c r="H53" s="96"/>
      <c r="I53" s="5"/>
      <c r="J53" s="12"/>
      <c r="K53" s="5"/>
      <c r="L53" s="7"/>
      <c r="M53" s="25"/>
      <c r="N53" s="275"/>
      <c r="O53" s="43"/>
      <c r="P53" s="186"/>
      <c r="Q53" s="49"/>
    </row>
    <row r="54" spans="1:17" ht="15">
      <c r="A54" s="603"/>
      <c r="B54" s="5">
        <v>4</v>
      </c>
      <c r="C54" s="5" t="s">
        <v>3</v>
      </c>
      <c r="D54" s="5">
        <v>3</v>
      </c>
      <c r="E54" s="7">
        <f>D54/28</f>
        <v>0.10714285714285714</v>
      </c>
      <c r="F54" s="162">
        <f>119/D54</f>
        <v>39.666666666666664</v>
      </c>
      <c r="G54" s="162">
        <f>49/D54</f>
        <v>16.333333333333332</v>
      </c>
      <c r="H54" s="161">
        <f>G54/64</f>
        <v>0.2552083333333333</v>
      </c>
      <c r="I54" s="5">
        <v>0</v>
      </c>
      <c r="J54" s="12">
        <f>I54/D54</f>
        <v>0</v>
      </c>
      <c r="K54" s="5">
        <v>3</v>
      </c>
      <c r="L54" s="12">
        <f>K54/13</f>
        <v>0.23076923076923078</v>
      </c>
      <c r="M54" s="164">
        <f>119/D54</f>
        <v>39.666666666666664</v>
      </c>
      <c r="N54" s="275">
        <v>0</v>
      </c>
      <c r="O54" s="85">
        <f>N54/D54</f>
        <v>0</v>
      </c>
      <c r="P54" s="186">
        <v>0</v>
      </c>
      <c r="Q54" s="63">
        <f>P54/D54</f>
        <v>0</v>
      </c>
    </row>
    <row r="55" spans="1:17" ht="30">
      <c r="A55" s="603"/>
      <c r="B55" s="5">
        <v>5</v>
      </c>
      <c r="C55" s="5" t="s">
        <v>4</v>
      </c>
      <c r="D55" s="5"/>
      <c r="E55" s="7"/>
      <c r="F55" s="5"/>
      <c r="G55" s="96"/>
      <c r="H55" s="96"/>
      <c r="I55" s="5"/>
      <c r="J55" s="12"/>
      <c r="K55" s="5"/>
      <c r="L55" s="5"/>
      <c r="M55" s="23"/>
      <c r="N55" s="275"/>
      <c r="O55" s="43"/>
      <c r="P55" s="186"/>
      <c r="Q55" s="49"/>
    </row>
    <row r="56" spans="1:17" ht="30">
      <c r="A56" s="603"/>
      <c r="B56" s="5">
        <v>6</v>
      </c>
      <c r="C56" s="5" t="s">
        <v>5</v>
      </c>
      <c r="D56" s="5"/>
      <c r="E56" s="7"/>
      <c r="F56" s="5"/>
      <c r="G56" s="96"/>
      <c r="H56" s="96"/>
      <c r="I56" s="5"/>
      <c r="J56" s="12"/>
      <c r="K56" s="5"/>
      <c r="L56" s="5"/>
      <c r="M56" s="23"/>
      <c r="N56" s="275"/>
      <c r="O56" s="43"/>
      <c r="P56" s="186"/>
      <c r="Q56" s="49"/>
    </row>
    <row r="57" spans="1:17" ht="15">
      <c r="A57" s="603"/>
      <c r="B57" s="6"/>
      <c r="C57" s="6" t="s">
        <v>6</v>
      </c>
      <c r="D57" s="6">
        <f>SUM(D51:D56)</f>
        <v>11</v>
      </c>
      <c r="E57" s="10">
        <f>D57/100</f>
        <v>0.11</v>
      </c>
      <c r="F57" s="67">
        <f>732/D57</f>
        <v>66.54545454545455</v>
      </c>
      <c r="G57" s="67">
        <f>431/D57</f>
        <v>39.18181818181818</v>
      </c>
      <c r="H57" s="10">
        <f>431/(D57*64)</f>
        <v>0.6122159090909091</v>
      </c>
      <c r="I57" s="6">
        <v>0</v>
      </c>
      <c r="J57" s="13">
        <f>I57/D57</f>
        <v>0</v>
      </c>
      <c r="K57" s="6">
        <f>SUM(K51:K56)</f>
        <v>11</v>
      </c>
      <c r="L57" s="13">
        <f>K57/23</f>
        <v>0.4782608695652174</v>
      </c>
      <c r="M57" s="165">
        <f>732/K57</f>
        <v>66.54545454545455</v>
      </c>
      <c r="N57" s="44">
        <f>SUM(N51:N56)</f>
        <v>7</v>
      </c>
      <c r="O57" s="43">
        <f>N57/D57</f>
        <v>0.6363636363636364</v>
      </c>
      <c r="P57" s="50">
        <f>SUM(P51:P56)</f>
        <v>3</v>
      </c>
      <c r="Q57" s="49">
        <f>P57/D57</f>
        <v>0.2727272727272727</v>
      </c>
    </row>
    <row r="58" spans="1:17" ht="15">
      <c r="A58" s="593"/>
      <c r="B58" s="6"/>
      <c r="C58" s="6" t="s">
        <v>22</v>
      </c>
      <c r="D58" s="6"/>
      <c r="E58" s="6"/>
      <c r="F58" s="6">
        <v>60.65</v>
      </c>
      <c r="G58" s="6"/>
      <c r="H58" s="6"/>
      <c r="I58" s="6"/>
      <c r="J58" s="6"/>
      <c r="K58" s="6"/>
      <c r="L58" s="6"/>
      <c r="M58" s="26"/>
      <c r="N58" s="44"/>
      <c r="O58" s="86">
        <v>0.5437</v>
      </c>
      <c r="P58" s="50"/>
      <c r="Q58" s="66">
        <v>0.0969</v>
      </c>
    </row>
  </sheetData>
  <sheetProtection/>
  <mergeCells count="163">
    <mergeCell ref="T2:U2"/>
    <mergeCell ref="P15:Q15"/>
    <mergeCell ref="R15:S15"/>
    <mergeCell ref="B14:N14"/>
    <mergeCell ref="A15:A24"/>
    <mergeCell ref="D15:E15"/>
    <mergeCell ref="F15:F16"/>
    <mergeCell ref="G15:G16"/>
    <mergeCell ref="H15:H16"/>
    <mergeCell ref="I15:J15"/>
    <mergeCell ref="K15:M15"/>
    <mergeCell ref="N15:O15"/>
    <mergeCell ref="D39:E39"/>
    <mergeCell ref="F39:F40"/>
    <mergeCell ref="G39:G40"/>
    <mergeCell ref="H39:H40"/>
    <mergeCell ref="I39:J39"/>
    <mergeCell ref="K39:M39"/>
    <mergeCell ref="N39:O39"/>
    <mergeCell ref="N27:O27"/>
    <mergeCell ref="P39:Q39"/>
    <mergeCell ref="R28:R29"/>
    <mergeCell ref="S28:S29"/>
    <mergeCell ref="T17:T18"/>
    <mergeCell ref="U17:V17"/>
    <mergeCell ref="W17:Y17"/>
    <mergeCell ref="Z17:AA17"/>
    <mergeCell ref="AB17:AC17"/>
    <mergeCell ref="AF17:AG17"/>
    <mergeCell ref="AH17:AH18"/>
    <mergeCell ref="AI17:AI18"/>
    <mergeCell ref="AJ17:AJ18"/>
    <mergeCell ref="AK17:AL17"/>
    <mergeCell ref="AM17:AO17"/>
    <mergeCell ref="AP17:AQ17"/>
    <mergeCell ref="AR17:AS17"/>
    <mergeCell ref="AV17:AW17"/>
    <mergeCell ref="AX17:AX18"/>
    <mergeCell ref="AY17:AY18"/>
    <mergeCell ref="AZ17:AZ18"/>
    <mergeCell ref="BA17:BB17"/>
    <mergeCell ref="BC17:BE17"/>
    <mergeCell ref="BF17:BG17"/>
    <mergeCell ref="BH17:BI17"/>
    <mergeCell ref="BL17:BM17"/>
    <mergeCell ref="BN17:BN18"/>
    <mergeCell ref="BO17:BO18"/>
    <mergeCell ref="BP17:BP18"/>
    <mergeCell ref="BQ17:BR17"/>
    <mergeCell ref="BS17:BU17"/>
    <mergeCell ref="BV17:BW17"/>
    <mergeCell ref="BX17:BY17"/>
    <mergeCell ref="CB17:CC17"/>
    <mergeCell ref="CD17:CD18"/>
    <mergeCell ref="CE17:CE18"/>
    <mergeCell ref="CF17:CF18"/>
    <mergeCell ref="CG17:CH17"/>
    <mergeCell ref="CI17:CK17"/>
    <mergeCell ref="CL17:CM17"/>
    <mergeCell ref="CN17:CO17"/>
    <mergeCell ref="CR17:CS17"/>
    <mergeCell ref="CT17:CT18"/>
    <mergeCell ref="CU17:CU18"/>
    <mergeCell ref="CV17:CV18"/>
    <mergeCell ref="CW17:CX17"/>
    <mergeCell ref="CY17:DA17"/>
    <mergeCell ref="DB17:DC17"/>
    <mergeCell ref="DD17:DE17"/>
    <mergeCell ref="DH17:DI17"/>
    <mergeCell ref="DJ17:DJ18"/>
    <mergeCell ref="DK17:DK18"/>
    <mergeCell ref="DL17:DL18"/>
    <mergeCell ref="DM17:DN17"/>
    <mergeCell ref="DO17:DQ17"/>
    <mergeCell ref="DR17:DS17"/>
    <mergeCell ref="DT17:DU17"/>
    <mergeCell ref="DX17:DY17"/>
    <mergeCell ref="DZ17:DZ18"/>
    <mergeCell ref="EA17:EA18"/>
    <mergeCell ref="EB17:EB18"/>
    <mergeCell ref="EC17:ED17"/>
    <mergeCell ref="EE17:EG17"/>
    <mergeCell ref="EH17:EI17"/>
    <mergeCell ref="EJ17:EK17"/>
    <mergeCell ref="EN17:EO17"/>
    <mergeCell ref="EP17:EP18"/>
    <mergeCell ref="EQ17:EQ18"/>
    <mergeCell ref="ER17:ER18"/>
    <mergeCell ref="ES17:ET17"/>
    <mergeCell ref="EU17:EW17"/>
    <mergeCell ref="EX17:EY17"/>
    <mergeCell ref="EZ17:FA17"/>
    <mergeCell ref="FD17:FE17"/>
    <mergeCell ref="FF17:FF18"/>
    <mergeCell ref="FG17:FG18"/>
    <mergeCell ref="FH17:FH18"/>
    <mergeCell ref="FI17:FJ17"/>
    <mergeCell ref="FK17:FM17"/>
    <mergeCell ref="FN17:FO17"/>
    <mergeCell ref="FP17:FQ17"/>
    <mergeCell ref="FT17:FU17"/>
    <mergeCell ref="FV17:FV18"/>
    <mergeCell ref="FW17:FW18"/>
    <mergeCell ref="FX17:FX18"/>
    <mergeCell ref="GO17:GP17"/>
    <mergeCell ref="GQ17:GS17"/>
    <mergeCell ref="GT17:GU17"/>
    <mergeCell ref="HR17:HR18"/>
    <mergeCell ref="FY17:FZ17"/>
    <mergeCell ref="GA17:GC17"/>
    <mergeCell ref="GD17:GE17"/>
    <mergeCell ref="GF17:GG17"/>
    <mergeCell ref="GJ17:GK17"/>
    <mergeCell ref="GL17:GL18"/>
    <mergeCell ref="GM17:GM18"/>
    <mergeCell ref="GN17:GN18"/>
    <mergeCell ref="A39:A48"/>
    <mergeCell ref="HG17:HI17"/>
    <mergeCell ref="HJ17:HK17"/>
    <mergeCell ref="HL17:HM17"/>
    <mergeCell ref="GV17:GW17"/>
    <mergeCell ref="GZ17:HA17"/>
    <mergeCell ref="HB17:HB18"/>
    <mergeCell ref="HC17:HC18"/>
    <mergeCell ref="HT17:HT18"/>
    <mergeCell ref="HU17:HV17"/>
    <mergeCell ref="HW17:HY17"/>
    <mergeCell ref="HZ17:IA17"/>
    <mergeCell ref="IB17:IC17"/>
    <mergeCell ref="HD17:HD18"/>
    <mergeCell ref="HE17:HF17"/>
    <mergeCell ref="HP17:HQ17"/>
    <mergeCell ref="HS17:HS18"/>
    <mergeCell ref="A49:A58"/>
    <mergeCell ref="P49:Q49"/>
    <mergeCell ref="B38:N38"/>
    <mergeCell ref="D49:E49"/>
    <mergeCell ref="F49:F50"/>
    <mergeCell ref="I49:J49"/>
    <mergeCell ref="K49:M49"/>
    <mergeCell ref="N49:O49"/>
    <mergeCell ref="G49:G50"/>
    <mergeCell ref="H49:H50"/>
    <mergeCell ref="N2:O2"/>
    <mergeCell ref="P27:Q27"/>
    <mergeCell ref="B26:N26"/>
    <mergeCell ref="A27:A36"/>
    <mergeCell ref="D27:E27"/>
    <mergeCell ref="F27:F28"/>
    <mergeCell ref="G27:G28"/>
    <mergeCell ref="H27:H28"/>
    <mergeCell ref="I27:J27"/>
    <mergeCell ref="K27:M27"/>
    <mergeCell ref="P2:Q2"/>
    <mergeCell ref="R2:S2"/>
    <mergeCell ref="B1:N1"/>
    <mergeCell ref="A2:A11"/>
    <mergeCell ref="D2:E2"/>
    <mergeCell ref="F2:F3"/>
    <mergeCell ref="G2:G3"/>
    <mergeCell ref="H2:H3"/>
    <mergeCell ref="I2:J2"/>
    <mergeCell ref="K2:M2"/>
  </mergeCells>
  <printOptions/>
  <pageMargins left="0.7" right="0.7" top="0.75" bottom="0.75" header="0.3" footer="0.3"/>
  <pageSetup horizontalDpi="600" verticalDpi="600" orientation="landscape" paperSize="9" scale="61" r:id="rId1"/>
  <rowBreaks count="3" manualBreakCount="3">
    <brk id="37" max="20" man="1"/>
    <brk id="48" max="20" man="1"/>
    <brk id="58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Z59"/>
  <sheetViews>
    <sheetView view="pageBreakPreview" zoomScale="60" zoomScaleNormal="90" workbookViewId="0" topLeftCell="A1">
      <selection activeCell="T6" sqref="T6"/>
    </sheetView>
  </sheetViews>
  <sheetFormatPr defaultColWidth="9.140625" defaultRowHeight="15"/>
  <cols>
    <col min="1" max="1" width="9.140625" style="182" customWidth="1"/>
    <col min="2" max="2" width="6.421875" style="18" customWidth="1"/>
    <col min="3" max="3" width="15.28125" style="18" customWidth="1"/>
    <col min="4" max="5" width="9.140625" style="18" customWidth="1"/>
    <col min="6" max="6" width="7.00390625" style="18" customWidth="1"/>
    <col min="7" max="7" width="6.00390625" style="76" customWidth="1"/>
    <col min="8" max="8" width="12.00390625" style="76" customWidth="1"/>
    <col min="9" max="9" width="9.140625" style="18" customWidth="1"/>
    <col min="10" max="10" width="8.00390625" style="18" customWidth="1"/>
    <col min="11" max="11" width="9.140625" style="27" customWidth="1"/>
    <col min="12" max="12" width="11.57421875" style="27" bestFit="1" customWidth="1"/>
    <col min="13" max="13" width="8.00390625" style="27" customWidth="1"/>
    <col min="14" max="15" width="0" style="81" hidden="1" customWidth="1"/>
    <col min="16" max="16" width="9.140625" style="81" customWidth="1"/>
    <col min="17" max="17" width="11.00390625" style="81" customWidth="1"/>
    <col min="18" max="16384" width="9.140625" style="18" customWidth="1"/>
  </cols>
  <sheetData>
    <row r="1" spans="1:19" s="456" customFormat="1" ht="15">
      <c r="A1" s="524"/>
      <c r="B1" s="588" t="s">
        <v>265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81"/>
      <c r="O1" s="81"/>
      <c r="P1" s="81"/>
      <c r="Q1" s="81"/>
      <c r="R1" s="524"/>
      <c r="S1" s="524"/>
    </row>
    <row r="2" spans="1:21" s="456" customFormat="1" ht="66.75" customHeight="1">
      <c r="A2" s="592" t="s">
        <v>256</v>
      </c>
      <c r="B2" s="525"/>
      <c r="C2" s="525"/>
      <c r="D2" s="590" t="s">
        <v>7</v>
      </c>
      <c r="E2" s="590"/>
      <c r="F2" s="590" t="s">
        <v>50</v>
      </c>
      <c r="G2" s="592" t="s">
        <v>51</v>
      </c>
      <c r="H2" s="592" t="s">
        <v>266</v>
      </c>
      <c r="I2" s="590" t="s">
        <v>9</v>
      </c>
      <c r="J2" s="590"/>
      <c r="K2" s="587" t="s">
        <v>13</v>
      </c>
      <c r="L2" s="587"/>
      <c r="M2" s="587"/>
      <c r="N2" s="599" t="s">
        <v>36</v>
      </c>
      <c r="O2" s="599"/>
      <c r="P2" s="599" t="s">
        <v>127</v>
      </c>
      <c r="Q2" s="599"/>
      <c r="R2" s="587" t="s">
        <v>267</v>
      </c>
      <c r="S2" s="587"/>
      <c r="T2" s="587" t="s">
        <v>287</v>
      </c>
      <c r="U2" s="587"/>
    </row>
    <row r="3" spans="1:21" s="456" customFormat="1" ht="195">
      <c r="A3" s="603"/>
      <c r="B3" s="525"/>
      <c r="C3" s="525"/>
      <c r="D3" s="525" t="s">
        <v>8</v>
      </c>
      <c r="E3" s="525" t="s">
        <v>11</v>
      </c>
      <c r="F3" s="590"/>
      <c r="G3" s="593"/>
      <c r="H3" s="593"/>
      <c r="I3" s="525" t="s">
        <v>8</v>
      </c>
      <c r="J3" s="525" t="s">
        <v>10</v>
      </c>
      <c r="K3" s="522" t="s">
        <v>14</v>
      </c>
      <c r="L3" s="522" t="s">
        <v>171</v>
      </c>
      <c r="M3" s="522" t="s">
        <v>15</v>
      </c>
      <c r="N3" s="526" t="s">
        <v>8</v>
      </c>
      <c r="O3" s="526" t="s">
        <v>10</v>
      </c>
      <c r="P3" s="526" t="s">
        <v>8</v>
      </c>
      <c r="Q3" s="526" t="s">
        <v>10</v>
      </c>
      <c r="R3" s="522" t="s">
        <v>8</v>
      </c>
      <c r="S3" s="522" t="s">
        <v>10</v>
      </c>
      <c r="T3" s="553" t="s">
        <v>8</v>
      </c>
      <c r="U3" s="553" t="s">
        <v>10</v>
      </c>
    </row>
    <row r="4" spans="1:21" s="456" customFormat="1" ht="15">
      <c r="A4" s="603"/>
      <c r="B4" s="525">
        <v>1</v>
      </c>
      <c r="C4" s="525" t="s">
        <v>0</v>
      </c>
      <c r="D4" s="522"/>
      <c r="E4" s="48"/>
      <c r="F4" s="68"/>
      <c r="G4" s="522"/>
      <c r="H4" s="499"/>
      <c r="I4" s="522"/>
      <c r="J4" s="499"/>
      <c r="K4" s="522"/>
      <c r="L4" s="48"/>
      <c r="M4" s="68"/>
      <c r="N4" s="522"/>
      <c r="O4" s="63"/>
      <c r="P4" s="522"/>
      <c r="Q4" s="306"/>
      <c r="R4" s="70"/>
      <c r="S4" s="295"/>
      <c r="T4" s="70"/>
      <c r="U4" s="295"/>
    </row>
    <row r="5" spans="1:21" s="456" customFormat="1" ht="15">
      <c r="A5" s="603"/>
      <c r="B5" s="525">
        <v>2</v>
      </c>
      <c r="C5" s="525" t="s">
        <v>1</v>
      </c>
      <c r="D5" s="522"/>
      <c r="E5" s="48"/>
      <c r="F5" s="68"/>
      <c r="G5" s="522"/>
      <c r="H5" s="499"/>
      <c r="I5" s="522"/>
      <c r="J5" s="499"/>
      <c r="K5" s="522"/>
      <c r="L5" s="48"/>
      <c r="M5" s="68"/>
      <c r="N5" s="522"/>
      <c r="O5" s="295"/>
      <c r="P5" s="522"/>
      <c r="Q5" s="306"/>
      <c r="R5" s="70"/>
      <c r="S5" s="295"/>
      <c r="T5" s="70"/>
      <c r="U5" s="295"/>
    </row>
    <row r="6" spans="1:21" s="456" customFormat="1" ht="15">
      <c r="A6" s="603"/>
      <c r="B6" s="525">
        <v>3</v>
      </c>
      <c r="C6" s="525" t="s">
        <v>2</v>
      </c>
      <c r="D6" s="522">
        <v>4</v>
      </c>
      <c r="E6" s="48">
        <v>0.21</v>
      </c>
      <c r="F6" s="284">
        <v>71</v>
      </c>
      <c r="G6" s="522">
        <v>18</v>
      </c>
      <c r="H6" s="499">
        <v>0.6</v>
      </c>
      <c r="I6" s="522">
        <v>0</v>
      </c>
      <c r="J6" s="499">
        <v>0</v>
      </c>
      <c r="K6" s="470">
        <v>4</v>
      </c>
      <c r="L6" s="585">
        <v>1</v>
      </c>
      <c r="M6" s="68">
        <v>71</v>
      </c>
      <c r="N6" s="522"/>
      <c r="O6" s="295"/>
      <c r="P6" s="522">
        <v>1</v>
      </c>
      <c r="Q6" s="306">
        <v>0.25</v>
      </c>
      <c r="R6" s="70">
        <v>0</v>
      </c>
      <c r="S6" s="295">
        <v>0</v>
      </c>
      <c r="T6" s="70">
        <v>2</v>
      </c>
      <c r="U6" s="295">
        <v>0.5</v>
      </c>
    </row>
    <row r="7" spans="1:21" s="456" customFormat="1" ht="15">
      <c r="A7" s="603"/>
      <c r="B7" s="525">
        <v>4</v>
      </c>
      <c r="C7" s="525" t="s">
        <v>3</v>
      </c>
      <c r="D7" s="522">
        <v>4</v>
      </c>
      <c r="E7" s="48">
        <v>0.23</v>
      </c>
      <c r="F7" s="68">
        <v>63</v>
      </c>
      <c r="G7" s="68">
        <v>15</v>
      </c>
      <c r="H7" s="499">
        <v>0.5</v>
      </c>
      <c r="I7" s="522">
        <v>0</v>
      </c>
      <c r="J7" s="499">
        <v>0</v>
      </c>
      <c r="K7" s="470">
        <v>4</v>
      </c>
      <c r="L7" s="469">
        <v>0.57</v>
      </c>
      <c r="M7" s="68">
        <v>63</v>
      </c>
      <c r="N7" s="522"/>
      <c r="O7" s="63"/>
      <c r="P7" s="522">
        <v>0</v>
      </c>
      <c r="Q7" s="306">
        <v>0</v>
      </c>
      <c r="R7" s="70">
        <v>0</v>
      </c>
      <c r="S7" s="295">
        <v>0</v>
      </c>
      <c r="T7" s="70">
        <v>1</v>
      </c>
      <c r="U7" s="295">
        <v>0.25</v>
      </c>
    </row>
    <row r="8" spans="1:21" s="456" customFormat="1" ht="30">
      <c r="A8" s="603"/>
      <c r="B8" s="525">
        <v>5</v>
      </c>
      <c r="C8" s="525" t="s">
        <v>4</v>
      </c>
      <c r="D8" s="522"/>
      <c r="E8" s="48"/>
      <c r="F8" s="68"/>
      <c r="G8" s="522"/>
      <c r="H8" s="499"/>
      <c r="I8" s="522"/>
      <c r="J8" s="499"/>
      <c r="K8" s="522"/>
      <c r="L8" s="48"/>
      <c r="M8" s="68"/>
      <c r="N8" s="522"/>
      <c r="O8" s="295"/>
      <c r="P8" s="522"/>
      <c r="Q8" s="295"/>
      <c r="R8" s="473"/>
      <c r="S8" s="295"/>
      <c r="T8" s="70"/>
      <c r="U8" s="295"/>
    </row>
    <row r="9" spans="1:21" s="456" customFormat="1" ht="30">
      <c r="A9" s="603"/>
      <c r="B9" s="525">
        <v>6</v>
      </c>
      <c r="C9" s="525" t="s">
        <v>5</v>
      </c>
      <c r="D9" s="522"/>
      <c r="E9" s="48"/>
      <c r="F9" s="68"/>
      <c r="G9" s="522"/>
      <c r="H9" s="499"/>
      <c r="I9" s="522"/>
      <c r="J9" s="499"/>
      <c r="K9" s="522"/>
      <c r="L9" s="48"/>
      <c r="M9" s="68"/>
      <c r="N9" s="522"/>
      <c r="O9" s="295"/>
      <c r="P9" s="522"/>
      <c r="Q9" s="295"/>
      <c r="R9" s="70"/>
      <c r="S9" s="295"/>
      <c r="T9" s="70"/>
      <c r="U9" s="295"/>
    </row>
    <row r="10" spans="1:21" s="456" customFormat="1" ht="15">
      <c r="A10" s="603"/>
      <c r="B10" s="528"/>
      <c r="C10" s="528" t="s">
        <v>6</v>
      </c>
      <c r="D10" s="296">
        <f>SUM(D4:D9)</f>
        <v>8</v>
      </c>
      <c r="E10" s="171">
        <v>0.11</v>
      </c>
      <c r="F10" s="279">
        <v>66.87</v>
      </c>
      <c r="G10" s="149">
        <v>16.62</v>
      </c>
      <c r="H10" s="83">
        <v>0.55</v>
      </c>
      <c r="I10" s="296">
        <v>0</v>
      </c>
      <c r="J10" s="83">
        <v>0</v>
      </c>
      <c r="K10" s="296">
        <f>SUM(K4:K9)</f>
        <v>8</v>
      </c>
      <c r="L10" s="171">
        <v>1</v>
      </c>
      <c r="M10" s="149">
        <v>67.42</v>
      </c>
      <c r="N10" s="296"/>
      <c r="O10" s="298"/>
      <c r="P10" s="296">
        <f>SUM(P4:P9)</f>
        <v>1</v>
      </c>
      <c r="Q10" s="298">
        <v>0.12</v>
      </c>
      <c r="R10" s="269">
        <v>0</v>
      </c>
      <c r="S10" s="298">
        <v>0</v>
      </c>
      <c r="T10" s="269">
        <v>3</v>
      </c>
      <c r="U10" s="298">
        <v>0.37</v>
      </c>
    </row>
    <row r="11" spans="1:21" s="456" customFormat="1" ht="15">
      <c r="A11" s="604"/>
      <c r="B11" s="561"/>
      <c r="C11" s="561" t="s">
        <v>22</v>
      </c>
      <c r="D11" s="296"/>
      <c r="E11" s="296"/>
      <c r="F11" s="346">
        <v>67.96</v>
      </c>
      <c r="G11" s="296"/>
      <c r="H11" s="296"/>
      <c r="I11" s="296"/>
      <c r="J11" s="296">
        <v>3.54</v>
      </c>
      <c r="K11" s="296"/>
      <c r="L11" s="296"/>
      <c r="M11" s="296"/>
      <c r="N11" s="296"/>
      <c r="O11" s="296"/>
      <c r="P11" s="296"/>
      <c r="Q11" s="298">
        <v>0.238</v>
      </c>
      <c r="R11" s="296"/>
      <c r="S11" s="298"/>
      <c r="T11" s="296"/>
      <c r="U11" s="295"/>
    </row>
    <row r="12" spans="1:21" s="554" customFormat="1" ht="15">
      <c r="A12" s="558"/>
      <c r="B12" s="561"/>
      <c r="C12" s="561" t="s">
        <v>277</v>
      </c>
      <c r="D12" s="296"/>
      <c r="E12" s="296"/>
      <c r="F12" s="149" t="s">
        <v>283</v>
      </c>
      <c r="G12" s="296"/>
      <c r="H12" s="296"/>
      <c r="I12" s="296"/>
      <c r="J12" s="296" t="s">
        <v>283</v>
      </c>
      <c r="K12" s="296"/>
      <c r="L12" s="296"/>
      <c r="M12" s="296"/>
      <c r="N12" s="296"/>
      <c r="O12" s="296"/>
      <c r="P12" s="296"/>
      <c r="Q12" s="298" t="s">
        <v>283</v>
      </c>
      <c r="R12" s="296"/>
      <c r="S12" s="298"/>
      <c r="T12" s="296"/>
      <c r="U12" s="295"/>
    </row>
    <row r="13" spans="1:21" s="554" customFormat="1" ht="15">
      <c r="A13" s="558"/>
      <c r="B13" s="560"/>
      <c r="C13" s="560"/>
      <c r="D13" s="146"/>
      <c r="E13" s="146"/>
      <c r="F13" s="56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46"/>
      <c r="S13" s="147"/>
      <c r="T13" s="146"/>
      <c r="U13" s="148"/>
    </row>
    <row r="14" spans="2:17" s="456" customFormat="1" ht="15">
      <c r="B14" s="588" t="s">
        <v>229</v>
      </c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81"/>
      <c r="O14" s="81"/>
      <c r="P14" s="81"/>
      <c r="Q14" s="81"/>
    </row>
    <row r="15" spans="1:19" s="456" customFormat="1" ht="15">
      <c r="A15" s="592" t="s">
        <v>228</v>
      </c>
      <c r="B15" s="457"/>
      <c r="C15" s="457"/>
      <c r="D15" s="590" t="s">
        <v>7</v>
      </c>
      <c r="E15" s="590"/>
      <c r="F15" s="590" t="s">
        <v>50</v>
      </c>
      <c r="G15" s="592" t="s">
        <v>51</v>
      </c>
      <c r="H15" s="592" t="s">
        <v>55</v>
      </c>
      <c r="I15" s="590" t="s">
        <v>9</v>
      </c>
      <c r="J15" s="590"/>
      <c r="K15" s="587" t="s">
        <v>13</v>
      </c>
      <c r="L15" s="587"/>
      <c r="M15" s="587"/>
      <c r="N15" s="599" t="s">
        <v>36</v>
      </c>
      <c r="O15" s="599"/>
      <c r="P15" s="599" t="s">
        <v>127</v>
      </c>
      <c r="Q15" s="599"/>
      <c r="R15" s="587" t="s">
        <v>247</v>
      </c>
      <c r="S15" s="587"/>
    </row>
    <row r="16" spans="1:26" s="407" customFormat="1" ht="195">
      <c r="A16" s="603"/>
      <c r="B16" s="457"/>
      <c r="C16" s="457"/>
      <c r="D16" s="457" t="s">
        <v>8</v>
      </c>
      <c r="E16" s="457" t="s">
        <v>11</v>
      </c>
      <c r="F16" s="590"/>
      <c r="G16" s="593"/>
      <c r="H16" s="593"/>
      <c r="I16" s="457" t="s">
        <v>8</v>
      </c>
      <c r="J16" s="457" t="s">
        <v>10</v>
      </c>
      <c r="K16" s="455" t="s">
        <v>14</v>
      </c>
      <c r="L16" s="455" t="s">
        <v>171</v>
      </c>
      <c r="M16" s="455" t="s">
        <v>15</v>
      </c>
      <c r="N16" s="458" t="s">
        <v>8</v>
      </c>
      <c r="O16" s="458" t="s">
        <v>10</v>
      </c>
      <c r="P16" s="458" t="s">
        <v>8</v>
      </c>
      <c r="Q16" s="458" t="s">
        <v>10</v>
      </c>
      <c r="R16" s="455" t="s">
        <v>8</v>
      </c>
      <c r="S16" s="455" t="s">
        <v>10</v>
      </c>
      <c r="Z16" s="472"/>
    </row>
    <row r="17" spans="1:23" s="22" customFormat="1" ht="49.5" customHeight="1">
      <c r="A17" s="603"/>
      <c r="B17" s="457">
        <v>1</v>
      </c>
      <c r="C17" s="457" t="s">
        <v>0</v>
      </c>
      <c r="D17" s="455">
        <v>5</v>
      </c>
      <c r="E17" s="48">
        <f>D17/27</f>
        <v>0.18518518518518517</v>
      </c>
      <c r="F17" s="284">
        <v>84</v>
      </c>
      <c r="G17" s="455">
        <v>29</v>
      </c>
      <c r="H17" s="65">
        <f>G17/35</f>
        <v>0.8285714285714286</v>
      </c>
      <c r="I17" s="455">
        <v>0</v>
      </c>
      <c r="J17" s="65">
        <v>0</v>
      </c>
      <c r="K17" s="455">
        <v>5</v>
      </c>
      <c r="L17" s="48">
        <f>K17/12</f>
        <v>0.4166666666666667</v>
      </c>
      <c r="M17" s="68">
        <f>F17</f>
        <v>84</v>
      </c>
      <c r="N17" s="455"/>
      <c r="O17" s="63"/>
      <c r="P17" s="487">
        <v>2</v>
      </c>
      <c r="Q17" s="306">
        <f>P17/D17</f>
        <v>0.4</v>
      </c>
      <c r="R17" s="70"/>
      <c r="S17" s="295"/>
      <c r="W17" s="471"/>
    </row>
    <row r="18" spans="1:19" ht="109.5" customHeight="1">
      <c r="A18" s="603"/>
      <c r="B18" s="457">
        <v>2</v>
      </c>
      <c r="C18" s="457" t="s">
        <v>1</v>
      </c>
      <c r="D18" s="455"/>
      <c r="E18" s="48"/>
      <c r="F18" s="68"/>
      <c r="G18" s="455"/>
      <c r="H18" s="65"/>
      <c r="I18" s="455"/>
      <c r="J18" s="65"/>
      <c r="K18" s="455"/>
      <c r="L18" s="48"/>
      <c r="M18" s="68"/>
      <c r="N18" s="455"/>
      <c r="O18" s="295"/>
      <c r="P18" s="455"/>
      <c r="Q18" s="306"/>
      <c r="R18" s="70"/>
      <c r="S18" s="295"/>
    </row>
    <row r="19" spans="1:19" ht="20.25" customHeight="1">
      <c r="A19" s="603"/>
      <c r="B19" s="457">
        <v>3</v>
      </c>
      <c r="C19" s="457" t="s">
        <v>2</v>
      </c>
      <c r="D19" s="455">
        <v>3</v>
      </c>
      <c r="E19" s="48">
        <f>D19/29</f>
        <v>0.10344827586206896</v>
      </c>
      <c r="F19" s="68">
        <v>66</v>
      </c>
      <c r="G19" s="455">
        <v>20</v>
      </c>
      <c r="H19" s="65">
        <f>G19/35</f>
        <v>0.5714285714285714</v>
      </c>
      <c r="I19" s="455">
        <v>0</v>
      </c>
      <c r="J19" s="65">
        <v>0</v>
      </c>
      <c r="K19" s="503">
        <v>0</v>
      </c>
      <c r="L19" s="469">
        <v>0</v>
      </c>
      <c r="M19" s="68"/>
      <c r="N19" s="455"/>
      <c r="O19" s="295"/>
      <c r="P19" s="455">
        <v>1</v>
      </c>
      <c r="Q19" s="306">
        <f>P19/D19</f>
        <v>0.3333333333333333</v>
      </c>
      <c r="R19" s="70"/>
      <c r="S19" s="295"/>
    </row>
    <row r="20" spans="1:19" ht="15">
      <c r="A20" s="603"/>
      <c r="B20" s="457">
        <v>4</v>
      </c>
      <c r="C20" s="457" t="s">
        <v>3</v>
      </c>
      <c r="D20" s="455">
        <v>1</v>
      </c>
      <c r="E20" s="48">
        <f>D20/27</f>
        <v>0.037037037037037035</v>
      </c>
      <c r="F20" s="68">
        <v>79</v>
      </c>
      <c r="G20" s="68">
        <v>27</v>
      </c>
      <c r="H20" s="65">
        <f>G20/35</f>
        <v>0.7714285714285715</v>
      </c>
      <c r="I20" s="455">
        <v>0</v>
      </c>
      <c r="J20" s="65">
        <v>0</v>
      </c>
      <c r="K20" s="470">
        <v>1</v>
      </c>
      <c r="L20" s="469">
        <v>1</v>
      </c>
      <c r="M20" s="68">
        <v>79</v>
      </c>
      <c r="N20" s="455"/>
      <c r="O20" s="63"/>
      <c r="P20" s="455">
        <v>0</v>
      </c>
      <c r="Q20" s="306">
        <v>0</v>
      </c>
      <c r="R20" s="70"/>
      <c r="S20" s="295"/>
    </row>
    <row r="21" spans="1:19" ht="30">
      <c r="A21" s="603"/>
      <c r="B21" s="457">
        <v>5</v>
      </c>
      <c r="C21" s="457" t="s">
        <v>4</v>
      </c>
      <c r="D21" s="455"/>
      <c r="E21" s="48"/>
      <c r="F21" s="68"/>
      <c r="G21" s="455"/>
      <c r="H21" s="65"/>
      <c r="I21" s="455"/>
      <c r="J21" s="65"/>
      <c r="K21" s="455"/>
      <c r="L21" s="48"/>
      <c r="M21" s="68"/>
      <c r="N21" s="455"/>
      <c r="O21" s="295"/>
      <c r="P21" s="455"/>
      <c r="Q21" s="295"/>
      <c r="R21" s="473"/>
      <c r="S21" s="295"/>
    </row>
    <row r="22" spans="1:19" ht="30">
      <c r="A22" s="603"/>
      <c r="B22" s="457">
        <v>6</v>
      </c>
      <c r="C22" s="457" t="s">
        <v>5</v>
      </c>
      <c r="D22" s="455"/>
      <c r="E22" s="48"/>
      <c r="F22" s="68"/>
      <c r="G22" s="455"/>
      <c r="H22" s="65"/>
      <c r="I22" s="455"/>
      <c r="J22" s="65"/>
      <c r="K22" s="455"/>
      <c r="L22" s="48"/>
      <c r="M22" s="68"/>
      <c r="N22" s="455"/>
      <c r="O22" s="295"/>
      <c r="P22" s="455"/>
      <c r="Q22" s="295"/>
      <c r="R22" s="70"/>
      <c r="S22" s="295"/>
    </row>
    <row r="23" spans="1:19" ht="15">
      <c r="A23" s="603"/>
      <c r="B23" s="459"/>
      <c r="C23" s="459" t="s">
        <v>6</v>
      </c>
      <c r="D23" s="296">
        <f>SUM(D17:D22)</f>
        <v>9</v>
      </c>
      <c r="E23" s="171">
        <f>D23/108</f>
        <v>0.08333333333333333</v>
      </c>
      <c r="F23" s="280">
        <v>77.7</v>
      </c>
      <c r="G23" s="149">
        <v>25.5</v>
      </c>
      <c r="H23" s="83">
        <f>G23/35</f>
        <v>0.7285714285714285</v>
      </c>
      <c r="I23" s="296">
        <v>0</v>
      </c>
      <c r="J23" s="83">
        <v>0</v>
      </c>
      <c r="K23" s="296">
        <f>SUM(K17:K22)</f>
        <v>6</v>
      </c>
      <c r="L23" s="48">
        <f>K23/13</f>
        <v>0.46153846153846156</v>
      </c>
      <c r="M23" s="149">
        <f>(421+79)/K23</f>
        <v>83.33333333333333</v>
      </c>
      <c r="N23" s="296"/>
      <c r="O23" s="298"/>
      <c r="P23" s="296">
        <f>SUM(P17:P22)</f>
        <v>3</v>
      </c>
      <c r="Q23" s="298">
        <f>P23/D23</f>
        <v>0.3333333333333333</v>
      </c>
      <c r="R23" s="269"/>
      <c r="S23" s="295"/>
    </row>
    <row r="24" spans="1:19" ht="15">
      <c r="A24" s="593"/>
      <c r="B24" s="459"/>
      <c r="C24" s="459" t="s">
        <v>22</v>
      </c>
      <c r="D24" s="296"/>
      <c r="E24" s="296"/>
      <c r="F24" s="149">
        <v>66.24</v>
      </c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8"/>
      <c r="R24" s="296"/>
      <c r="S24" s="298"/>
    </row>
    <row r="25" spans="1:19" ht="15">
      <c r="A25" s="456"/>
      <c r="B25" s="456"/>
      <c r="C25" s="456"/>
      <c r="D25" s="456"/>
      <c r="E25" s="456"/>
      <c r="F25" s="456"/>
      <c r="G25" s="456"/>
      <c r="H25" s="456"/>
      <c r="I25" s="456"/>
      <c r="J25" s="456"/>
      <c r="K25" s="467"/>
      <c r="L25" s="467"/>
      <c r="M25" s="467"/>
      <c r="R25" s="456"/>
      <c r="S25" s="456"/>
    </row>
    <row r="26" spans="1:19" ht="13.5" customHeight="1">
      <c r="A26" s="456"/>
      <c r="B26" s="456"/>
      <c r="C26" s="456"/>
      <c r="D26" s="456"/>
      <c r="E26" s="456"/>
      <c r="F26" s="456"/>
      <c r="G26" s="456"/>
      <c r="H26" s="456"/>
      <c r="I26" s="456"/>
      <c r="J26" s="456"/>
      <c r="K26" s="467"/>
      <c r="L26" s="467"/>
      <c r="M26" s="467"/>
      <c r="R26" s="456"/>
      <c r="S26" s="456"/>
    </row>
    <row r="27" spans="1:19" s="17" customFormat="1" ht="15">
      <c r="A27" s="406"/>
      <c r="B27" s="588" t="s">
        <v>227</v>
      </c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81"/>
      <c r="P27" s="81"/>
      <c r="Q27" s="81"/>
      <c r="R27" s="407"/>
      <c r="S27" s="407"/>
    </row>
    <row r="28" spans="1:19" ht="18" customHeight="1">
      <c r="A28" s="592" t="s">
        <v>194</v>
      </c>
      <c r="B28" s="408"/>
      <c r="C28" s="408"/>
      <c r="D28" s="590" t="s">
        <v>7</v>
      </c>
      <c r="E28" s="590"/>
      <c r="F28" s="590" t="s">
        <v>50</v>
      </c>
      <c r="G28" s="592" t="s">
        <v>51</v>
      </c>
      <c r="H28" s="592" t="s">
        <v>55</v>
      </c>
      <c r="I28" s="590" t="s">
        <v>9</v>
      </c>
      <c r="J28" s="590"/>
      <c r="K28" s="468" t="s">
        <v>13</v>
      </c>
      <c r="L28" s="468"/>
      <c r="M28" s="468"/>
      <c r="N28" s="599" t="s">
        <v>36</v>
      </c>
      <c r="O28" s="599"/>
      <c r="P28" s="599" t="s">
        <v>127</v>
      </c>
      <c r="Q28" s="599"/>
      <c r="R28" s="587" t="s">
        <v>217</v>
      </c>
      <c r="S28" s="587"/>
    </row>
    <row r="29" spans="1:19" ht="93.75" customHeight="1">
      <c r="A29" s="603"/>
      <c r="B29" s="408"/>
      <c r="C29" s="408"/>
      <c r="D29" s="408" t="s">
        <v>8</v>
      </c>
      <c r="E29" s="408" t="s">
        <v>11</v>
      </c>
      <c r="F29" s="590"/>
      <c r="G29" s="593"/>
      <c r="H29" s="593"/>
      <c r="I29" s="408" t="s">
        <v>8</v>
      </c>
      <c r="J29" s="408" t="s">
        <v>10</v>
      </c>
      <c r="K29" s="405" t="s">
        <v>14</v>
      </c>
      <c r="L29" s="405" t="s">
        <v>171</v>
      </c>
      <c r="M29" s="405" t="s">
        <v>15</v>
      </c>
      <c r="N29" s="409" t="s">
        <v>8</v>
      </c>
      <c r="O29" s="409" t="s">
        <v>10</v>
      </c>
      <c r="P29" s="409" t="s">
        <v>8</v>
      </c>
      <c r="Q29" s="409" t="s">
        <v>10</v>
      </c>
      <c r="R29" s="405" t="s">
        <v>8</v>
      </c>
      <c r="S29" s="405" t="s">
        <v>10</v>
      </c>
    </row>
    <row r="30" spans="1:19" ht="30" customHeight="1">
      <c r="A30" s="603"/>
      <c r="B30" s="408">
        <v>1</v>
      </c>
      <c r="C30" s="408" t="s">
        <v>0</v>
      </c>
      <c r="D30" s="405">
        <v>1</v>
      </c>
      <c r="E30" s="48">
        <f>D30/22</f>
        <v>0.045454545454545456</v>
      </c>
      <c r="F30" s="284">
        <f>84/D30</f>
        <v>84</v>
      </c>
      <c r="G30" s="405">
        <f>30/D30</f>
        <v>30</v>
      </c>
      <c r="H30" s="65">
        <f>G30/35</f>
        <v>0.8571428571428571</v>
      </c>
      <c r="I30" s="405">
        <v>0</v>
      </c>
      <c r="J30" s="65">
        <f>I30/D30</f>
        <v>0</v>
      </c>
      <c r="K30" s="405">
        <v>1</v>
      </c>
      <c r="L30" s="48">
        <f>K30/16</f>
        <v>0.0625</v>
      </c>
      <c r="M30" s="94">
        <f>84/K30</f>
        <v>84</v>
      </c>
      <c r="N30" s="405"/>
      <c r="O30" s="63">
        <f aca="true" t="shared" si="0" ref="O30:O36">N30/D30</f>
        <v>0</v>
      </c>
      <c r="P30" s="405">
        <v>1</v>
      </c>
      <c r="Q30" s="417">
        <v>1</v>
      </c>
      <c r="R30" s="70">
        <v>1</v>
      </c>
      <c r="S30" s="305">
        <f>R30/D30</f>
        <v>1</v>
      </c>
    </row>
    <row r="31" spans="1:19" ht="15">
      <c r="A31" s="603"/>
      <c r="B31" s="408">
        <v>2</v>
      </c>
      <c r="C31" s="408" t="s">
        <v>1</v>
      </c>
      <c r="D31" s="405"/>
      <c r="E31" s="48">
        <f>D31/20</f>
        <v>0</v>
      </c>
      <c r="F31" s="405"/>
      <c r="G31" s="405"/>
      <c r="H31" s="405"/>
      <c r="I31" s="405"/>
      <c r="J31" s="65"/>
      <c r="K31" s="405"/>
      <c r="L31" s="48">
        <f>K31/22</f>
        <v>0</v>
      </c>
      <c r="M31" s="405"/>
      <c r="N31" s="405"/>
      <c r="O31" s="295" t="e">
        <f t="shared" si="0"/>
        <v>#DIV/0!</v>
      </c>
      <c r="P31" s="405"/>
      <c r="Q31" s="295" t="e">
        <f aca="true" t="shared" si="1" ref="Q31:Q36">P31/D31</f>
        <v>#DIV/0!</v>
      </c>
      <c r="R31" s="70">
        <v>0</v>
      </c>
      <c r="S31" s="295">
        <v>0</v>
      </c>
    </row>
    <row r="32" spans="1:19" ht="15">
      <c r="A32" s="603"/>
      <c r="B32" s="408">
        <v>3</v>
      </c>
      <c r="C32" s="408" t="s">
        <v>2</v>
      </c>
      <c r="D32" s="405">
        <v>1</v>
      </c>
      <c r="E32" s="48">
        <f>D32/27</f>
        <v>0.037037037037037035</v>
      </c>
      <c r="F32" s="405">
        <f>68/D32</f>
        <v>68</v>
      </c>
      <c r="G32" s="405">
        <f>21/D32</f>
        <v>21</v>
      </c>
      <c r="H32" s="65">
        <f>G32/35</f>
        <v>0.6</v>
      </c>
      <c r="I32" s="405">
        <v>0</v>
      </c>
      <c r="J32" s="65">
        <v>0</v>
      </c>
      <c r="K32" s="405">
        <v>0</v>
      </c>
      <c r="L32" s="48">
        <f>K32/1</f>
        <v>0</v>
      </c>
      <c r="M32" s="94" t="e">
        <f>68/K32</f>
        <v>#DIV/0!</v>
      </c>
      <c r="N32" s="405"/>
      <c r="O32" s="295">
        <f t="shared" si="0"/>
        <v>0</v>
      </c>
      <c r="P32" s="405">
        <v>0</v>
      </c>
      <c r="Q32" s="295">
        <f t="shared" si="1"/>
        <v>0</v>
      </c>
      <c r="R32" s="70">
        <v>1</v>
      </c>
      <c r="S32" s="305">
        <f>R32/D32</f>
        <v>1</v>
      </c>
    </row>
    <row r="33" spans="1:19" ht="15">
      <c r="A33" s="603"/>
      <c r="B33" s="408">
        <v>4</v>
      </c>
      <c r="C33" s="408" t="s">
        <v>3</v>
      </c>
      <c r="D33" s="405">
        <v>3</v>
      </c>
      <c r="E33" s="48">
        <f>D33/26</f>
        <v>0.11538461538461539</v>
      </c>
      <c r="F33" s="405">
        <f>159/D33</f>
        <v>53</v>
      </c>
      <c r="G33" s="68">
        <f>41/D33</f>
        <v>13.666666666666666</v>
      </c>
      <c r="H33" s="65">
        <f>G33/35</f>
        <v>0.3904761904761905</v>
      </c>
      <c r="I33" s="105">
        <v>1</v>
      </c>
      <c r="J33" s="314">
        <f>I33/D33</f>
        <v>0.3333333333333333</v>
      </c>
      <c r="K33" s="405">
        <v>3</v>
      </c>
      <c r="L33" s="316">
        <f>K33/4</f>
        <v>0.75</v>
      </c>
      <c r="M33" s="94">
        <f>159/K33</f>
        <v>53</v>
      </c>
      <c r="N33" s="405"/>
      <c r="O33" s="63">
        <f t="shared" si="0"/>
        <v>0</v>
      </c>
      <c r="P33" s="405"/>
      <c r="Q33" s="295">
        <f t="shared" si="1"/>
        <v>0</v>
      </c>
      <c r="R33" s="70">
        <v>1</v>
      </c>
      <c r="S33" s="295">
        <f>R33/D33</f>
        <v>0.3333333333333333</v>
      </c>
    </row>
    <row r="34" spans="1:19" ht="30">
      <c r="A34" s="603"/>
      <c r="B34" s="408">
        <v>5</v>
      </c>
      <c r="C34" s="408" t="s">
        <v>4</v>
      </c>
      <c r="D34" s="405"/>
      <c r="E34" s="48"/>
      <c r="F34" s="405"/>
      <c r="G34" s="405"/>
      <c r="H34" s="405"/>
      <c r="I34" s="405"/>
      <c r="J34" s="65"/>
      <c r="K34" s="405"/>
      <c r="L34" s="48">
        <f>K34/4</f>
        <v>0</v>
      </c>
      <c r="M34" s="405"/>
      <c r="N34" s="405"/>
      <c r="O34" s="295" t="e">
        <f t="shared" si="0"/>
        <v>#DIV/0!</v>
      </c>
      <c r="P34" s="405"/>
      <c r="Q34" s="295" t="e">
        <f t="shared" si="1"/>
        <v>#DIV/0!</v>
      </c>
      <c r="R34" s="70">
        <v>0</v>
      </c>
      <c r="S34" s="295">
        <v>0</v>
      </c>
    </row>
    <row r="35" spans="1:19" ht="30">
      <c r="A35" s="603"/>
      <c r="B35" s="408">
        <v>6</v>
      </c>
      <c r="C35" s="408" t="s">
        <v>5</v>
      </c>
      <c r="D35" s="405"/>
      <c r="E35" s="48"/>
      <c r="F35" s="405"/>
      <c r="G35" s="405"/>
      <c r="H35" s="405"/>
      <c r="I35" s="405"/>
      <c r="J35" s="65"/>
      <c r="K35" s="405"/>
      <c r="L35" s="48">
        <f>K35/4</f>
        <v>0</v>
      </c>
      <c r="M35" s="405"/>
      <c r="N35" s="405"/>
      <c r="O35" s="295" t="e">
        <f t="shared" si="0"/>
        <v>#DIV/0!</v>
      </c>
      <c r="P35" s="405"/>
      <c r="Q35" s="295" t="e">
        <f t="shared" si="1"/>
        <v>#DIV/0!</v>
      </c>
      <c r="R35" s="70">
        <v>0</v>
      </c>
      <c r="S35" s="295">
        <v>0</v>
      </c>
    </row>
    <row r="36" spans="1:19" ht="15">
      <c r="A36" s="603"/>
      <c r="B36" s="290"/>
      <c r="C36" s="290" t="s">
        <v>6</v>
      </c>
      <c r="D36" s="296">
        <f>SUM(D30:D35)</f>
        <v>5</v>
      </c>
      <c r="E36" s="171">
        <f>D36/100</f>
        <v>0.05</v>
      </c>
      <c r="F36" s="419">
        <f>311/D36</f>
        <v>62.2</v>
      </c>
      <c r="G36" s="149">
        <f>92/D36</f>
        <v>18.4</v>
      </c>
      <c r="H36" s="83">
        <f>92/(35*D36)</f>
        <v>0.5257142857142857</v>
      </c>
      <c r="I36" s="296">
        <f>SUM(I30:I35)</f>
        <v>1</v>
      </c>
      <c r="J36" s="83">
        <f>I36/D36</f>
        <v>0.2</v>
      </c>
      <c r="K36" s="296">
        <f>SUM(K30:K35)</f>
        <v>4</v>
      </c>
      <c r="L36" s="48">
        <f>K36/27</f>
        <v>0.14814814814814814</v>
      </c>
      <c r="M36" s="296">
        <f>311/K36</f>
        <v>77.75</v>
      </c>
      <c r="N36" s="296">
        <f>SUM(N30:N35)</f>
        <v>0</v>
      </c>
      <c r="O36" s="298">
        <f t="shared" si="0"/>
        <v>0</v>
      </c>
      <c r="P36" s="296">
        <f>SUM(P30:P35)</f>
        <v>1</v>
      </c>
      <c r="Q36" s="298">
        <f t="shared" si="1"/>
        <v>0.2</v>
      </c>
      <c r="R36" s="269">
        <f>SUM(R30:R35)</f>
        <v>3</v>
      </c>
      <c r="S36" s="295">
        <f>R36/D36</f>
        <v>0.6</v>
      </c>
    </row>
    <row r="37" spans="1:19" ht="15">
      <c r="A37" s="593"/>
      <c r="B37" s="290"/>
      <c r="C37" s="290" t="s">
        <v>22</v>
      </c>
      <c r="D37" s="296"/>
      <c r="E37" s="296"/>
      <c r="F37" s="296">
        <v>67</v>
      </c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8"/>
      <c r="R37" s="296"/>
      <c r="S37" s="298"/>
    </row>
    <row r="38" spans="1:19" ht="15">
      <c r="A38" s="407"/>
      <c r="B38" s="407"/>
      <c r="C38" s="407"/>
      <c r="D38" s="407"/>
      <c r="E38" s="407"/>
      <c r="F38" s="407"/>
      <c r="G38" s="407"/>
      <c r="H38" s="407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07"/>
    </row>
    <row r="39" spans="1:14" ht="15">
      <c r="A39" s="181"/>
      <c r="B39" s="588" t="s">
        <v>141</v>
      </c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</row>
    <row r="40" spans="1:19" ht="52.5" customHeight="1">
      <c r="A40" s="592" t="s">
        <v>140</v>
      </c>
      <c r="B40" s="183"/>
      <c r="C40" s="183"/>
      <c r="D40" s="590" t="s">
        <v>7</v>
      </c>
      <c r="E40" s="590"/>
      <c r="F40" s="590" t="s">
        <v>50</v>
      </c>
      <c r="G40" s="592" t="s">
        <v>51</v>
      </c>
      <c r="H40" s="592" t="s">
        <v>55</v>
      </c>
      <c r="I40" s="590" t="s">
        <v>9</v>
      </c>
      <c r="J40" s="590"/>
      <c r="K40" s="587" t="s">
        <v>13</v>
      </c>
      <c r="L40" s="587"/>
      <c r="M40" s="587"/>
      <c r="N40" s="599" t="s">
        <v>36</v>
      </c>
      <c r="O40" s="599"/>
      <c r="P40" s="599" t="s">
        <v>127</v>
      </c>
      <c r="Q40" s="599"/>
      <c r="R40" s="587" t="s">
        <v>167</v>
      </c>
      <c r="S40" s="587"/>
    </row>
    <row r="41" spans="1:19" ht="195">
      <c r="A41" s="603"/>
      <c r="B41" s="183"/>
      <c r="C41" s="183"/>
      <c r="D41" s="183" t="s">
        <v>8</v>
      </c>
      <c r="E41" s="183" t="s">
        <v>11</v>
      </c>
      <c r="F41" s="590"/>
      <c r="G41" s="593"/>
      <c r="H41" s="593"/>
      <c r="I41" s="183" t="s">
        <v>8</v>
      </c>
      <c r="J41" s="183" t="s">
        <v>10</v>
      </c>
      <c r="K41" s="180" t="s">
        <v>14</v>
      </c>
      <c r="L41" s="180" t="s">
        <v>12</v>
      </c>
      <c r="M41" s="180" t="s">
        <v>15</v>
      </c>
      <c r="N41" s="184" t="s">
        <v>8</v>
      </c>
      <c r="O41" s="184" t="s">
        <v>10</v>
      </c>
      <c r="P41" s="184" t="s">
        <v>8</v>
      </c>
      <c r="Q41" s="184" t="s">
        <v>10</v>
      </c>
      <c r="R41" s="293" t="s">
        <v>8</v>
      </c>
      <c r="S41" s="293" t="s">
        <v>10</v>
      </c>
    </row>
    <row r="42" spans="1:19" ht="15">
      <c r="A42" s="603"/>
      <c r="B42" s="183">
        <v>1</v>
      </c>
      <c r="C42" s="183" t="s">
        <v>0</v>
      </c>
      <c r="D42" s="183">
        <v>8</v>
      </c>
      <c r="E42" s="7">
        <f>D42/51</f>
        <v>0.1568627450980392</v>
      </c>
      <c r="F42" s="284">
        <f>648/D42</f>
        <v>81</v>
      </c>
      <c r="G42" s="183">
        <f>221/D42</f>
        <v>27.625</v>
      </c>
      <c r="H42" s="185">
        <f>G42/35</f>
        <v>0.7892857142857143</v>
      </c>
      <c r="I42" s="183">
        <v>0</v>
      </c>
      <c r="J42" s="185">
        <f>I42/D42</f>
        <v>0</v>
      </c>
      <c r="K42" s="180">
        <v>7</v>
      </c>
      <c r="L42" s="308">
        <f>K42/23</f>
        <v>0.30434782608695654</v>
      </c>
      <c r="M42" s="309">
        <f>578/K42</f>
        <v>82.57142857142857</v>
      </c>
      <c r="N42" s="184"/>
      <c r="O42" s="85">
        <f aca="true" t="shared" si="2" ref="O42:O48">N42/D42</f>
        <v>0</v>
      </c>
      <c r="P42" s="184">
        <v>4</v>
      </c>
      <c r="Q42" s="85">
        <f aca="true" t="shared" si="3" ref="Q42:Q48">P42/D42</f>
        <v>0.5</v>
      </c>
      <c r="R42" s="70">
        <v>8</v>
      </c>
      <c r="S42" s="295">
        <f>R42/D42</f>
        <v>1</v>
      </c>
    </row>
    <row r="43" spans="1:19" ht="15">
      <c r="A43" s="603"/>
      <c r="B43" s="183">
        <v>2</v>
      </c>
      <c r="C43" s="183" t="s">
        <v>1</v>
      </c>
      <c r="D43" s="183"/>
      <c r="E43" s="7">
        <f>D43/20</f>
        <v>0</v>
      </c>
      <c r="F43" s="183"/>
      <c r="G43" s="183"/>
      <c r="H43" s="183"/>
      <c r="I43" s="183"/>
      <c r="J43" s="185"/>
      <c r="K43" s="180"/>
      <c r="L43" s="65"/>
      <c r="M43" s="180"/>
      <c r="N43" s="184"/>
      <c r="O43" s="43" t="e">
        <f t="shared" si="2"/>
        <v>#DIV/0!</v>
      </c>
      <c r="P43" s="184"/>
      <c r="Q43" s="43" t="e">
        <f t="shared" si="3"/>
        <v>#DIV/0!</v>
      </c>
      <c r="R43" s="70">
        <v>0</v>
      </c>
      <c r="S43" s="295">
        <v>0</v>
      </c>
    </row>
    <row r="44" spans="1:19" ht="15">
      <c r="A44" s="603"/>
      <c r="B44" s="183">
        <v>3</v>
      </c>
      <c r="C44" s="183" t="s">
        <v>2</v>
      </c>
      <c r="D44" s="183"/>
      <c r="E44" s="7">
        <f>D44/27</f>
        <v>0</v>
      </c>
      <c r="F44" s="183" t="e">
        <f>97/D44</f>
        <v>#DIV/0!</v>
      </c>
      <c r="G44" s="183" t="e">
        <f>21/D44</f>
        <v>#DIV/0!</v>
      </c>
      <c r="H44" s="185" t="e">
        <f>G44/35</f>
        <v>#DIV/0!</v>
      </c>
      <c r="I44" s="183">
        <v>0</v>
      </c>
      <c r="J44" s="185">
        <v>0</v>
      </c>
      <c r="K44" s="180">
        <v>0</v>
      </c>
      <c r="L44" s="48">
        <v>0</v>
      </c>
      <c r="M44" s="94">
        <v>0</v>
      </c>
      <c r="N44" s="184"/>
      <c r="O44" s="43" t="e">
        <f>N44/D44</f>
        <v>#DIV/0!</v>
      </c>
      <c r="P44" s="184">
        <v>0</v>
      </c>
      <c r="Q44" s="43" t="e">
        <f>P44/D44</f>
        <v>#DIV/0!</v>
      </c>
      <c r="R44" s="70">
        <v>0</v>
      </c>
      <c r="S44" s="295" t="e">
        <f>R44/H44</f>
        <v>#DIV/0!</v>
      </c>
    </row>
    <row r="45" spans="1:19" ht="15">
      <c r="A45" s="603"/>
      <c r="B45" s="183">
        <v>4</v>
      </c>
      <c r="C45" s="183" t="s">
        <v>3</v>
      </c>
      <c r="D45" s="183"/>
      <c r="E45" s="7"/>
      <c r="F45" s="183"/>
      <c r="G45" s="183"/>
      <c r="H45" s="183"/>
      <c r="I45" s="183"/>
      <c r="J45" s="185" t="e">
        <f>I45/D45</f>
        <v>#DIV/0!</v>
      </c>
      <c r="K45" s="180"/>
      <c r="L45" s="65"/>
      <c r="M45" s="94"/>
      <c r="N45" s="184"/>
      <c r="O45" s="85" t="e">
        <f t="shared" si="2"/>
        <v>#DIV/0!</v>
      </c>
      <c r="P45" s="184"/>
      <c r="Q45" s="43" t="e">
        <f t="shared" si="3"/>
        <v>#DIV/0!</v>
      </c>
      <c r="R45" s="70">
        <v>0</v>
      </c>
      <c r="S45" s="63">
        <v>0</v>
      </c>
    </row>
    <row r="46" spans="1:19" ht="30">
      <c r="A46" s="603"/>
      <c r="B46" s="183">
        <v>5</v>
      </c>
      <c r="C46" s="183" t="s">
        <v>4</v>
      </c>
      <c r="D46" s="183"/>
      <c r="E46" s="7"/>
      <c r="F46" s="183"/>
      <c r="G46" s="183"/>
      <c r="H46" s="183"/>
      <c r="I46" s="183"/>
      <c r="J46" s="185"/>
      <c r="K46" s="180"/>
      <c r="L46" s="180"/>
      <c r="M46" s="180"/>
      <c r="N46" s="184"/>
      <c r="O46" s="43" t="e">
        <f t="shared" si="2"/>
        <v>#DIV/0!</v>
      </c>
      <c r="P46" s="184"/>
      <c r="Q46" s="43" t="e">
        <f t="shared" si="3"/>
        <v>#DIV/0!</v>
      </c>
      <c r="R46" s="70">
        <v>0</v>
      </c>
      <c r="S46" s="295">
        <v>0</v>
      </c>
    </row>
    <row r="47" spans="1:19" ht="30">
      <c r="A47" s="603"/>
      <c r="B47" s="183">
        <v>6</v>
      </c>
      <c r="C47" s="183" t="s">
        <v>5</v>
      </c>
      <c r="D47" s="183"/>
      <c r="E47" s="7"/>
      <c r="F47" s="183"/>
      <c r="G47" s="183"/>
      <c r="H47" s="183"/>
      <c r="I47" s="183"/>
      <c r="J47" s="185"/>
      <c r="K47" s="180"/>
      <c r="L47" s="180"/>
      <c r="M47" s="180"/>
      <c r="N47" s="184"/>
      <c r="O47" s="43" t="e">
        <f t="shared" si="2"/>
        <v>#DIV/0!</v>
      </c>
      <c r="P47" s="184"/>
      <c r="Q47" s="43" t="e">
        <f t="shared" si="3"/>
        <v>#DIV/0!</v>
      </c>
      <c r="R47" s="70">
        <v>0</v>
      </c>
      <c r="S47" s="295">
        <v>0</v>
      </c>
    </row>
    <row r="48" spans="1:19" ht="15">
      <c r="A48" s="603"/>
      <c r="B48" s="6"/>
      <c r="C48" s="6" t="s">
        <v>6</v>
      </c>
      <c r="D48" s="6">
        <f>SUM(D42:D47)</f>
        <v>8</v>
      </c>
      <c r="E48" s="10">
        <f>D48/107</f>
        <v>0.07476635514018691</v>
      </c>
      <c r="F48" s="280">
        <f>725/D48</f>
        <v>90.625</v>
      </c>
      <c r="G48" s="67">
        <f>(198+21)/D48</f>
        <v>27.375</v>
      </c>
      <c r="H48" s="13">
        <f>219/(35*D48)</f>
        <v>0.7821428571428571</v>
      </c>
      <c r="I48" s="6">
        <v>0</v>
      </c>
      <c r="J48" s="13">
        <f>I48/D48</f>
        <v>0</v>
      </c>
      <c r="K48" s="50">
        <f>K42</f>
        <v>7</v>
      </c>
      <c r="L48" s="50">
        <v>0</v>
      </c>
      <c r="M48" s="50">
        <v>0</v>
      </c>
      <c r="N48" s="44">
        <f>SUM(N42:N47)</f>
        <v>0</v>
      </c>
      <c r="O48" s="86">
        <f t="shared" si="2"/>
        <v>0</v>
      </c>
      <c r="P48" s="281">
        <f>SUM(P42:P47)</f>
        <v>4</v>
      </c>
      <c r="Q48" s="302">
        <f t="shared" si="3"/>
        <v>0.5</v>
      </c>
      <c r="R48" s="303">
        <f>SUM(R42:R47)</f>
        <v>8</v>
      </c>
      <c r="S48" s="305">
        <f>R48/D48</f>
        <v>1</v>
      </c>
    </row>
    <row r="49" spans="1:19" ht="15">
      <c r="A49" s="593"/>
      <c r="B49" s="6"/>
      <c r="C49" s="6" t="s">
        <v>22</v>
      </c>
      <c r="D49" s="6"/>
      <c r="E49" s="6"/>
      <c r="F49" s="6">
        <v>63.59</v>
      </c>
      <c r="G49" s="6"/>
      <c r="H49" s="6"/>
      <c r="I49" s="6"/>
      <c r="J49" s="6"/>
      <c r="K49" s="50"/>
      <c r="L49" s="50"/>
      <c r="M49" s="50"/>
      <c r="N49" s="44"/>
      <c r="O49" s="44"/>
      <c r="P49" s="44"/>
      <c r="Q49" s="86"/>
      <c r="R49" s="296"/>
      <c r="S49" s="298"/>
    </row>
    <row r="50" spans="1:19" ht="15">
      <c r="A50" s="605" t="s">
        <v>138</v>
      </c>
      <c r="B50" s="19"/>
      <c r="C50" s="19"/>
      <c r="D50" s="590" t="s">
        <v>7</v>
      </c>
      <c r="E50" s="590"/>
      <c r="F50" s="590" t="s">
        <v>50</v>
      </c>
      <c r="G50" s="592" t="s">
        <v>51</v>
      </c>
      <c r="H50" s="592" t="s">
        <v>55</v>
      </c>
      <c r="I50" s="590" t="s">
        <v>9</v>
      </c>
      <c r="J50" s="590"/>
      <c r="K50" s="587" t="s">
        <v>13</v>
      </c>
      <c r="L50" s="587"/>
      <c r="M50" s="587"/>
      <c r="N50" s="599" t="s">
        <v>36</v>
      </c>
      <c r="O50" s="599"/>
      <c r="P50" s="599" t="s">
        <v>127</v>
      </c>
      <c r="Q50" s="599"/>
      <c r="R50" s="587" t="s">
        <v>135</v>
      </c>
      <c r="S50" s="587"/>
    </row>
    <row r="51" spans="1:19" ht="195">
      <c r="A51" s="603"/>
      <c r="B51" s="19"/>
      <c r="C51" s="19"/>
      <c r="D51" s="19" t="s">
        <v>8</v>
      </c>
      <c r="E51" s="19" t="s">
        <v>11</v>
      </c>
      <c r="F51" s="590"/>
      <c r="G51" s="593"/>
      <c r="H51" s="593"/>
      <c r="I51" s="19" t="s">
        <v>8</v>
      </c>
      <c r="J51" s="19" t="s">
        <v>10</v>
      </c>
      <c r="K51" s="92" t="s">
        <v>14</v>
      </c>
      <c r="L51" s="92" t="s">
        <v>12</v>
      </c>
      <c r="M51" s="92" t="s">
        <v>15</v>
      </c>
      <c r="N51" s="80" t="s">
        <v>8</v>
      </c>
      <c r="O51" s="80" t="s">
        <v>10</v>
      </c>
      <c r="P51" s="80" t="s">
        <v>8</v>
      </c>
      <c r="Q51" s="80" t="s">
        <v>10</v>
      </c>
      <c r="R51" s="293" t="s">
        <v>8</v>
      </c>
      <c r="S51" s="293" t="s">
        <v>10</v>
      </c>
    </row>
    <row r="52" spans="1:19" ht="15">
      <c r="A52" s="603"/>
      <c r="B52" s="19">
        <v>1</v>
      </c>
      <c r="C52" s="19" t="s">
        <v>0</v>
      </c>
      <c r="D52" s="19">
        <v>9</v>
      </c>
      <c r="E52" s="7">
        <f>D52/25</f>
        <v>0.36</v>
      </c>
      <c r="F52" s="131">
        <f>628/D52</f>
        <v>69.77777777777777</v>
      </c>
      <c r="G52" s="77">
        <f>198/D52</f>
        <v>22</v>
      </c>
      <c r="H52" s="130">
        <f>G52/35</f>
        <v>0.6285714285714286</v>
      </c>
      <c r="I52" s="19">
        <v>0</v>
      </c>
      <c r="J52" s="12">
        <f>I52/D52</f>
        <v>0</v>
      </c>
      <c r="K52" s="92">
        <v>9</v>
      </c>
      <c r="L52" s="48">
        <f>K52/12</f>
        <v>0.75</v>
      </c>
      <c r="M52" s="94">
        <v>69.8</v>
      </c>
      <c r="N52" s="80"/>
      <c r="O52" s="85">
        <f aca="true" t="shared" si="4" ref="O52:O58">N52/D52</f>
        <v>0</v>
      </c>
      <c r="P52" s="80">
        <v>3</v>
      </c>
      <c r="Q52" s="85">
        <f aca="true" t="shared" si="5" ref="Q52:Q58">P52/D52</f>
        <v>0.3333333333333333</v>
      </c>
      <c r="R52" s="70">
        <v>6</v>
      </c>
      <c r="S52" s="295">
        <f>R52/D52</f>
        <v>0.6666666666666666</v>
      </c>
    </row>
    <row r="53" spans="1:19" ht="15">
      <c r="A53" s="603"/>
      <c r="B53" s="19">
        <v>2</v>
      </c>
      <c r="C53" s="19" t="s">
        <v>1</v>
      </c>
      <c r="D53" s="19"/>
      <c r="E53" s="7">
        <f>D53/20</f>
        <v>0</v>
      </c>
      <c r="F53" s="19"/>
      <c r="G53" s="77"/>
      <c r="H53" s="77"/>
      <c r="I53" s="19"/>
      <c r="J53" s="12"/>
      <c r="K53" s="92"/>
      <c r="L53" s="65"/>
      <c r="M53" s="92"/>
      <c r="N53" s="80"/>
      <c r="O53" s="43" t="e">
        <f t="shared" si="4"/>
        <v>#DIV/0!</v>
      </c>
      <c r="P53" s="80"/>
      <c r="Q53" s="43" t="e">
        <f t="shared" si="5"/>
        <v>#DIV/0!</v>
      </c>
      <c r="R53" s="70">
        <v>0</v>
      </c>
      <c r="S53" s="295">
        <v>0</v>
      </c>
    </row>
    <row r="54" spans="1:19" ht="15">
      <c r="A54" s="603"/>
      <c r="B54" s="19">
        <v>3</v>
      </c>
      <c r="C54" s="19" t="s">
        <v>2</v>
      </c>
      <c r="D54" s="19">
        <v>2</v>
      </c>
      <c r="E54" s="7">
        <f>D54/27</f>
        <v>0.07407407407407407</v>
      </c>
      <c r="F54" s="19">
        <f>97/D54</f>
        <v>48.5</v>
      </c>
      <c r="G54" s="77">
        <f>21/D54</f>
        <v>10.5</v>
      </c>
      <c r="H54" s="130">
        <f>G54/35</f>
        <v>0.3</v>
      </c>
      <c r="I54" s="19">
        <v>0</v>
      </c>
      <c r="J54" s="12">
        <v>0</v>
      </c>
      <c r="K54" s="92">
        <v>0</v>
      </c>
      <c r="L54" s="48">
        <v>0</v>
      </c>
      <c r="M54" s="94">
        <v>0</v>
      </c>
      <c r="N54" s="80"/>
      <c r="O54" s="43">
        <f t="shared" si="4"/>
        <v>0</v>
      </c>
      <c r="P54" s="80">
        <v>0</v>
      </c>
      <c r="Q54" s="43">
        <f t="shared" si="5"/>
        <v>0</v>
      </c>
      <c r="R54" s="70">
        <v>0</v>
      </c>
      <c r="S54" s="295">
        <f>R54/H54</f>
        <v>0</v>
      </c>
    </row>
    <row r="55" spans="1:19" ht="15">
      <c r="A55" s="603"/>
      <c r="B55" s="19">
        <v>4</v>
      </c>
      <c r="C55" s="19" t="s">
        <v>3</v>
      </c>
      <c r="D55" s="19"/>
      <c r="E55" s="7"/>
      <c r="F55" s="19"/>
      <c r="G55" s="77"/>
      <c r="H55" s="77"/>
      <c r="I55" s="19"/>
      <c r="J55" s="12" t="e">
        <f>I55/D55</f>
        <v>#DIV/0!</v>
      </c>
      <c r="K55" s="92"/>
      <c r="L55" s="65"/>
      <c r="M55" s="94"/>
      <c r="N55" s="80"/>
      <c r="O55" s="85" t="e">
        <f t="shared" si="4"/>
        <v>#DIV/0!</v>
      </c>
      <c r="P55" s="80"/>
      <c r="Q55" s="43" t="e">
        <f t="shared" si="5"/>
        <v>#DIV/0!</v>
      </c>
      <c r="R55" s="70">
        <v>0</v>
      </c>
      <c r="S55" s="63">
        <v>0</v>
      </c>
    </row>
    <row r="56" spans="1:19" ht="30">
      <c r="A56" s="603"/>
      <c r="B56" s="19">
        <v>5</v>
      </c>
      <c r="C56" s="19" t="s">
        <v>4</v>
      </c>
      <c r="D56" s="19"/>
      <c r="E56" s="7"/>
      <c r="F56" s="19"/>
      <c r="G56" s="77"/>
      <c r="H56" s="77"/>
      <c r="I56" s="19"/>
      <c r="J56" s="12"/>
      <c r="K56" s="92"/>
      <c r="L56" s="92"/>
      <c r="M56" s="92"/>
      <c r="N56" s="80"/>
      <c r="O56" s="43" t="e">
        <f t="shared" si="4"/>
        <v>#DIV/0!</v>
      </c>
      <c r="P56" s="80"/>
      <c r="Q56" s="43" t="e">
        <f t="shared" si="5"/>
        <v>#DIV/0!</v>
      </c>
      <c r="R56" s="70" t="e">
        <f>SUM(N56:Q56)</f>
        <v>#DIV/0!</v>
      </c>
      <c r="S56" s="295"/>
    </row>
    <row r="57" spans="1:19" ht="30">
      <c r="A57" s="603"/>
      <c r="B57" s="19">
        <v>6</v>
      </c>
      <c r="C57" s="19" t="s">
        <v>5</v>
      </c>
      <c r="D57" s="19"/>
      <c r="E57" s="7"/>
      <c r="F57" s="19"/>
      <c r="G57" s="77"/>
      <c r="H57" s="77"/>
      <c r="I57" s="19"/>
      <c r="J57" s="12"/>
      <c r="K57" s="92"/>
      <c r="L57" s="92"/>
      <c r="M57" s="92"/>
      <c r="N57" s="80"/>
      <c r="O57" s="43" t="e">
        <f t="shared" si="4"/>
        <v>#DIV/0!</v>
      </c>
      <c r="P57" s="80"/>
      <c r="Q57" s="43" t="e">
        <f t="shared" si="5"/>
        <v>#DIV/0!</v>
      </c>
      <c r="R57" s="70" t="e">
        <f>SUM(N57:Q57)</f>
        <v>#DIV/0!</v>
      </c>
      <c r="S57" s="295"/>
    </row>
    <row r="58" spans="1:19" ht="15">
      <c r="A58" s="603"/>
      <c r="B58" s="6"/>
      <c r="C58" s="6" t="s">
        <v>6</v>
      </c>
      <c r="D58" s="6">
        <f>SUM(D52:D57)</f>
        <v>11</v>
      </c>
      <c r="E58" s="10">
        <f>D58/107</f>
        <v>0.102803738317757</v>
      </c>
      <c r="F58" s="67">
        <f>725/D58</f>
        <v>65.9090909090909</v>
      </c>
      <c r="G58" s="67">
        <f>(198+21)/D58</f>
        <v>19.90909090909091</v>
      </c>
      <c r="H58" s="13">
        <f>219/(35*D58)</f>
        <v>0.5688311688311688</v>
      </c>
      <c r="I58" s="6">
        <v>0</v>
      </c>
      <c r="J58" s="13">
        <f>I58/D58</f>
        <v>0</v>
      </c>
      <c r="K58" s="50">
        <v>0</v>
      </c>
      <c r="L58" s="50">
        <v>0</v>
      </c>
      <c r="M58" s="50">
        <v>0</v>
      </c>
      <c r="N58" s="44">
        <f>SUM(N52:N57)</f>
        <v>0</v>
      </c>
      <c r="O58" s="86">
        <f t="shared" si="4"/>
        <v>0</v>
      </c>
      <c r="P58" s="44">
        <f>SUM(P52:P57)</f>
        <v>3</v>
      </c>
      <c r="Q58" s="86">
        <f t="shared" si="5"/>
        <v>0.2727272727272727</v>
      </c>
      <c r="R58" s="269">
        <v>6</v>
      </c>
      <c r="S58" s="295">
        <f>R58/D58</f>
        <v>0.5454545454545454</v>
      </c>
    </row>
    <row r="59" spans="1:19" ht="15">
      <c r="A59" s="593"/>
      <c r="B59" s="6"/>
      <c r="C59" s="6" t="s">
        <v>22</v>
      </c>
      <c r="D59" s="6"/>
      <c r="E59" s="6"/>
      <c r="F59" s="6">
        <v>63.6</v>
      </c>
      <c r="G59" s="6"/>
      <c r="H59" s="6"/>
      <c r="I59" s="6"/>
      <c r="J59" s="6"/>
      <c r="K59" s="50"/>
      <c r="L59" s="50"/>
      <c r="M59" s="50"/>
      <c r="N59" s="44"/>
      <c r="O59" s="44"/>
      <c r="P59" s="44"/>
      <c r="Q59" s="86">
        <v>0.1939</v>
      </c>
      <c r="R59" s="296"/>
      <c r="S59" s="298">
        <v>0.5059</v>
      </c>
    </row>
  </sheetData>
  <sheetProtection/>
  <mergeCells count="54">
    <mergeCell ref="N2:O2"/>
    <mergeCell ref="P2:Q2"/>
    <mergeCell ref="R2:S2"/>
    <mergeCell ref="T2:U2"/>
    <mergeCell ref="B1:M1"/>
    <mergeCell ref="A2:A11"/>
    <mergeCell ref="D2:E2"/>
    <mergeCell ref="F2:F3"/>
    <mergeCell ref="G2:G3"/>
    <mergeCell ref="H2:H3"/>
    <mergeCell ref="I2:J2"/>
    <mergeCell ref="K2:M2"/>
    <mergeCell ref="A28:A37"/>
    <mergeCell ref="D28:E28"/>
    <mergeCell ref="F28:F29"/>
    <mergeCell ref="G28:G29"/>
    <mergeCell ref="H28:H29"/>
    <mergeCell ref="I28:J28"/>
    <mergeCell ref="B27:N27"/>
    <mergeCell ref="K15:M15"/>
    <mergeCell ref="R50:S50"/>
    <mergeCell ref="P50:Q50"/>
    <mergeCell ref="I50:J50"/>
    <mergeCell ref="K50:M50"/>
    <mergeCell ref="P40:Q40"/>
    <mergeCell ref="R40:S40"/>
    <mergeCell ref="N50:O50"/>
    <mergeCell ref="N40:O40"/>
    <mergeCell ref="I40:J40"/>
    <mergeCell ref="A40:A49"/>
    <mergeCell ref="A50:A59"/>
    <mergeCell ref="D40:E40"/>
    <mergeCell ref="F40:F41"/>
    <mergeCell ref="G40:G41"/>
    <mergeCell ref="H40:H41"/>
    <mergeCell ref="D50:E50"/>
    <mergeCell ref="F50:F51"/>
    <mergeCell ref="G50:G51"/>
    <mergeCell ref="H50:H51"/>
    <mergeCell ref="P28:Q28"/>
    <mergeCell ref="R28:S28"/>
    <mergeCell ref="N15:O15"/>
    <mergeCell ref="P15:Q15"/>
    <mergeCell ref="R15:S15"/>
    <mergeCell ref="K40:M40"/>
    <mergeCell ref="N28:O28"/>
    <mergeCell ref="B39:N39"/>
    <mergeCell ref="B14:M14"/>
    <mergeCell ref="A15:A24"/>
    <mergeCell ref="D15:E15"/>
    <mergeCell ref="F15:F16"/>
    <mergeCell ref="G15:G16"/>
    <mergeCell ref="H15:H16"/>
    <mergeCell ref="I15:J15"/>
  </mergeCells>
  <printOptions/>
  <pageMargins left="0.7" right="0.7" top="0.75" bottom="0.75" header="0.3" footer="0.3"/>
  <pageSetup horizontalDpi="600" verticalDpi="600" orientation="landscape" paperSize="9" scale="62" r:id="rId1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59"/>
  <sheetViews>
    <sheetView view="pageBreakPreview" zoomScale="60" zoomScalePageLayoutView="0" workbookViewId="0" topLeftCell="A1">
      <selection activeCell="F6" sqref="F6"/>
    </sheetView>
  </sheetViews>
  <sheetFormatPr defaultColWidth="9.140625" defaultRowHeight="15"/>
  <cols>
    <col min="1" max="1" width="9.140625" style="188" customWidth="1"/>
    <col min="2" max="2" width="6.421875" style="18" customWidth="1"/>
    <col min="3" max="3" width="15.28125" style="18" customWidth="1"/>
    <col min="4" max="5" width="9.140625" style="18" customWidth="1"/>
    <col min="6" max="6" width="11.57421875" style="18" bestFit="1" customWidth="1"/>
    <col min="7" max="8" width="11.57421875" style="76" bestFit="1" customWidth="1"/>
    <col min="9" max="9" width="9.140625" style="18" customWidth="1"/>
    <col min="10" max="10" width="11.57421875" style="18" bestFit="1" customWidth="1"/>
    <col min="11" max="11" width="9.140625" style="18" customWidth="1"/>
    <col min="12" max="13" width="11.57421875" style="18" bestFit="1" customWidth="1"/>
    <col min="14" max="14" width="15.421875" style="81" customWidth="1"/>
    <col min="15" max="15" width="11.00390625" style="81" customWidth="1"/>
    <col min="16" max="17" width="9.140625" style="81" customWidth="1"/>
    <col min="18" max="16384" width="9.140625" style="18" customWidth="1"/>
  </cols>
  <sheetData>
    <row r="1" spans="1:19" s="489" customFormat="1" ht="15">
      <c r="A1" s="533"/>
      <c r="B1" s="602" t="s">
        <v>271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</row>
    <row r="2" spans="1:19" s="489" customFormat="1" ht="159.75" customHeight="1">
      <c r="A2" s="592" t="s">
        <v>256</v>
      </c>
      <c r="B2" s="535"/>
      <c r="C2" s="535"/>
      <c r="D2" s="373" t="s">
        <v>7</v>
      </c>
      <c r="E2" s="373" t="s">
        <v>11</v>
      </c>
      <c r="F2" s="373" t="s">
        <v>52</v>
      </c>
      <c r="G2" s="373" t="s">
        <v>53</v>
      </c>
      <c r="H2" s="373" t="s">
        <v>242</v>
      </c>
      <c r="I2" s="373" t="s">
        <v>9</v>
      </c>
      <c r="J2" s="373" t="s">
        <v>10</v>
      </c>
      <c r="K2" s="373" t="s">
        <v>13</v>
      </c>
      <c r="L2" s="373" t="s">
        <v>12</v>
      </c>
      <c r="M2" s="373" t="s">
        <v>15</v>
      </c>
      <c r="N2" s="587" t="s">
        <v>285</v>
      </c>
      <c r="O2" s="587"/>
      <c r="P2" s="87" t="s">
        <v>127</v>
      </c>
      <c r="Q2" s="87" t="s">
        <v>10</v>
      </c>
      <c r="R2" s="594" t="s">
        <v>272</v>
      </c>
      <c r="S2" s="612"/>
    </row>
    <row r="3" spans="1:19" s="489" customFormat="1" ht="180">
      <c r="A3" s="603"/>
      <c r="B3" s="535"/>
      <c r="C3" s="535"/>
      <c r="D3" s="535" t="s">
        <v>8</v>
      </c>
      <c r="E3" s="535" t="s">
        <v>11</v>
      </c>
      <c r="F3" s="373"/>
      <c r="G3" s="378"/>
      <c r="H3" s="535" t="s">
        <v>10</v>
      </c>
      <c r="I3" s="535" t="s">
        <v>8</v>
      </c>
      <c r="J3" s="535" t="s">
        <v>10</v>
      </c>
      <c r="K3" s="535" t="s">
        <v>14</v>
      </c>
      <c r="L3" s="535" t="s">
        <v>12</v>
      </c>
      <c r="M3" s="535" t="s">
        <v>15</v>
      </c>
      <c r="N3" s="553" t="s">
        <v>8</v>
      </c>
      <c r="O3" s="553" t="s">
        <v>10</v>
      </c>
      <c r="P3" s="536" t="s">
        <v>8</v>
      </c>
      <c r="Q3" s="536" t="s">
        <v>10</v>
      </c>
      <c r="R3" s="532" t="s">
        <v>8</v>
      </c>
      <c r="S3" s="532" t="s">
        <v>10</v>
      </c>
    </row>
    <row r="4" spans="1:19" s="489" customFormat="1" ht="15">
      <c r="A4" s="603"/>
      <c r="B4" s="535">
        <v>1</v>
      </c>
      <c r="C4" s="532" t="s">
        <v>0</v>
      </c>
      <c r="D4" s="532">
        <v>2</v>
      </c>
      <c r="E4" s="295">
        <v>0.0952</v>
      </c>
      <c r="F4" s="284">
        <v>73.5</v>
      </c>
      <c r="G4" s="68">
        <v>43.5</v>
      </c>
      <c r="H4" s="295">
        <v>0.7768</v>
      </c>
      <c r="I4" s="532">
        <v>0</v>
      </c>
      <c r="J4" s="499">
        <v>0</v>
      </c>
      <c r="K4" s="532">
        <v>2</v>
      </c>
      <c r="L4" s="499">
        <v>0.5</v>
      </c>
      <c r="M4" s="94">
        <v>73.5</v>
      </c>
      <c r="N4" s="70">
        <v>2</v>
      </c>
      <c r="O4" s="305">
        <v>1</v>
      </c>
      <c r="P4" s="532">
        <v>0</v>
      </c>
      <c r="Q4" s="295">
        <v>0</v>
      </c>
      <c r="R4" s="70">
        <v>0</v>
      </c>
      <c r="S4" s="295">
        <v>0</v>
      </c>
    </row>
    <row r="5" spans="1:19" s="489" customFormat="1" ht="15">
      <c r="A5" s="603"/>
      <c r="B5" s="535">
        <v>2</v>
      </c>
      <c r="C5" s="532" t="s">
        <v>1</v>
      </c>
      <c r="D5" s="532">
        <v>3</v>
      </c>
      <c r="E5" s="48">
        <v>0.23</v>
      </c>
      <c r="F5" s="537">
        <v>64</v>
      </c>
      <c r="G5" s="537">
        <v>33</v>
      </c>
      <c r="H5" s="537">
        <v>58</v>
      </c>
      <c r="I5" s="532">
        <v>0</v>
      </c>
      <c r="J5" s="499">
        <v>0</v>
      </c>
      <c r="K5" s="532">
        <v>2</v>
      </c>
      <c r="L5" s="499">
        <v>0.66</v>
      </c>
      <c r="M5" s="94">
        <v>78.5</v>
      </c>
      <c r="N5" s="70">
        <v>2</v>
      </c>
      <c r="O5" s="295">
        <v>0.66</v>
      </c>
      <c r="P5" s="532">
        <v>1</v>
      </c>
      <c r="Q5" s="312">
        <v>0.33</v>
      </c>
      <c r="R5" s="70">
        <v>0</v>
      </c>
      <c r="S5" s="295">
        <v>0</v>
      </c>
    </row>
    <row r="6" spans="1:19" s="489" customFormat="1" ht="15">
      <c r="A6" s="603"/>
      <c r="B6" s="535">
        <v>3</v>
      </c>
      <c r="C6" s="532" t="s">
        <v>2</v>
      </c>
      <c r="D6" s="532">
        <v>2</v>
      </c>
      <c r="E6" s="48">
        <v>0.1</v>
      </c>
      <c r="F6" s="285">
        <v>55</v>
      </c>
      <c r="G6" s="68">
        <v>28</v>
      </c>
      <c r="H6" s="499">
        <v>0.5</v>
      </c>
      <c r="I6" s="532">
        <v>0</v>
      </c>
      <c r="J6" s="499">
        <v>0</v>
      </c>
      <c r="K6" s="532">
        <v>2</v>
      </c>
      <c r="L6" s="499">
        <v>1</v>
      </c>
      <c r="M6" s="94">
        <v>55</v>
      </c>
      <c r="N6" s="70">
        <v>1</v>
      </c>
      <c r="O6" s="295">
        <v>0.5</v>
      </c>
      <c r="P6" s="532">
        <v>0</v>
      </c>
      <c r="Q6" s="295">
        <v>0</v>
      </c>
      <c r="R6" s="70">
        <v>0</v>
      </c>
      <c r="S6" s="295">
        <v>0</v>
      </c>
    </row>
    <row r="7" spans="1:19" s="489" customFormat="1" ht="15">
      <c r="A7" s="603"/>
      <c r="B7" s="535">
        <v>4</v>
      </c>
      <c r="C7" s="532" t="s">
        <v>3</v>
      </c>
      <c r="D7" s="532">
        <v>1</v>
      </c>
      <c r="E7" s="48">
        <v>0.05</v>
      </c>
      <c r="F7" s="68">
        <v>57</v>
      </c>
      <c r="G7" s="68">
        <v>30</v>
      </c>
      <c r="H7" s="499">
        <v>0.53</v>
      </c>
      <c r="I7" s="532">
        <v>0</v>
      </c>
      <c r="J7" s="499">
        <v>0</v>
      </c>
      <c r="K7" s="532">
        <v>1</v>
      </c>
      <c r="L7" s="499">
        <v>0.25</v>
      </c>
      <c r="M7" s="68">
        <v>57</v>
      </c>
      <c r="N7" s="70">
        <v>0</v>
      </c>
      <c r="O7" s="295">
        <v>0</v>
      </c>
      <c r="P7" s="532">
        <v>0</v>
      </c>
      <c r="Q7" s="295">
        <v>0</v>
      </c>
      <c r="R7" s="70">
        <v>0</v>
      </c>
      <c r="S7" s="63">
        <v>0</v>
      </c>
    </row>
    <row r="8" spans="1:19" s="489" customFormat="1" ht="30">
      <c r="A8" s="603"/>
      <c r="B8" s="535">
        <v>5</v>
      </c>
      <c r="C8" s="532" t="s">
        <v>4</v>
      </c>
      <c r="D8" s="532"/>
      <c r="E8" s="48"/>
      <c r="F8" s="68"/>
      <c r="G8" s="68"/>
      <c r="H8" s="499"/>
      <c r="I8" s="532"/>
      <c r="J8" s="499"/>
      <c r="K8" s="532"/>
      <c r="L8" s="499"/>
      <c r="M8" s="68"/>
      <c r="N8" s="70"/>
      <c r="O8" s="295"/>
      <c r="P8" s="532"/>
      <c r="Q8" s="295"/>
      <c r="R8" s="70"/>
      <c r="S8" s="63"/>
    </row>
    <row r="9" spans="1:19" s="489" customFormat="1" ht="30">
      <c r="A9" s="603"/>
      <c r="B9" s="535">
        <v>6</v>
      </c>
      <c r="C9" s="532" t="s">
        <v>5</v>
      </c>
      <c r="D9" s="532"/>
      <c r="E9" s="48"/>
      <c r="F9" s="532"/>
      <c r="G9" s="532"/>
      <c r="H9" s="499"/>
      <c r="I9" s="532"/>
      <c r="J9" s="499"/>
      <c r="K9" s="532"/>
      <c r="L9" s="499"/>
      <c r="M9" s="68"/>
      <c r="N9" s="70"/>
      <c r="O9" s="295"/>
      <c r="P9" s="532"/>
      <c r="Q9" s="295"/>
      <c r="R9" s="70"/>
      <c r="S9" s="63"/>
    </row>
    <row r="10" spans="1:19" s="489" customFormat="1" ht="15">
      <c r="A10" s="603"/>
      <c r="B10" s="538"/>
      <c r="C10" s="296" t="s">
        <v>6</v>
      </c>
      <c r="D10" s="296">
        <f>SUM(D4:D9)</f>
        <v>8</v>
      </c>
      <c r="E10" s="171">
        <v>0.11</v>
      </c>
      <c r="F10" s="283">
        <v>63.25</v>
      </c>
      <c r="G10" s="149">
        <v>34.25</v>
      </c>
      <c r="H10" s="83">
        <v>0.61</v>
      </c>
      <c r="I10" s="296">
        <v>0</v>
      </c>
      <c r="J10" s="83">
        <f>I10/D10</f>
        <v>0</v>
      </c>
      <c r="K10" s="296">
        <f>SUM(K4:K9)</f>
        <v>7</v>
      </c>
      <c r="L10" s="311">
        <v>0.58</v>
      </c>
      <c r="M10" s="346">
        <v>67.28</v>
      </c>
      <c r="N10" s="269">
        <v>5</v>
      </c>
      <c r="O10" s="302">
        <v>0.62</v>
      </c>
      <c r="P10" s="296">
        <f>SUM(P4:P9)</f>
        <v>1</v>
      </c>
      <c r="Q10" s="298">
        <v>0.12</v>
      </c>
      <c r="R10" s="269">
        <f>SUM(R4:R9)</f>
        <v>0</v>
      </c>
      <c r="S10" s="295">
        <f>R10/D10</f>
        <v>0</v>
      </c>
    </row>
    <row r="11" spans="1:19" s="489" customFormat="1" ht="15">
      <c r="A11" s="604"/>
      <c r="B11" s="561"/>
      <c r="C11" s="296" t="s">
        <v>22</v>
      </c>
      <c r="D11" s="296"/>
      <c r="E11" s="296"/>
      <c r="F11" s="296">
        <v>58.51</v>
      </c>
      <c r="G11" s="296"/>
      <c r="H11" s="296"/>
      <c r="I11" s="296"/>
      <c r="J11" s="296">
        <v>2.47</v>
      </c>
      <c r="K11" s="296"/>
      <c r="L11" s="296"/>
      <c r="M11" s="296"/>
      <c r="N11" s="296"/>
      <c r="O11" s="295"/>
      <c r="P11" s="296"/>
      <c r="Q11" s="298">
        <v>0.0972</v>
      </c>
      <c r="R11" s="296"/>
      <c r="S11" s="296"/>
    </row>
    <row r="12" spans="1:19" s="554" customFormat="1" ht="15">
      <c r="A12" s="558"/>
      <c r="B12" s="561"/>
      <c r="C12" s="296" t="s">
        <v>277</v>
      </c>
      <c r="D12" s="296"/>
      <c r="E12" s="296"/>
      <c r="F12" s="296">
        <v>54.87</v>
      </c>
      <c r="G12" s="296"/>
      <c r="H12" s="296"/>
      <c r="I12" s="296"/>
      <c r="J12" s="296">
        <v>7.44</v>
      </c>
      <c r="K12" s="296"/>
      <c r="L12" s="296"/>
      <c r="M12" s="296"/>
      <c r="N12" s="296"/>
      <c r="O12" s="295"/>
      <c r="P12" s="296"/>
      <c r="Q12" s="298">
        <v>0.114</v>
      </c>
      <c r="R12" s="296"/>
      <c r="S12" s="296"/>
    </row>
    <row r="13" spans="1:19" s="554" customFormat="1" ht="15">
      <c r="A13" s="558"/>
      <c r="B13" s="55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565"/>
      <c r="P13" s="299"/>
      <c r="Q13" s="564"/>
      <c r="R13" s="299"/>
      <c r="S13" s="299"/>
    </row>
    <row r="14" spans="1:19" s="489" customFormat="1" ht="15">
      <c r="A14" s="488"/>
      <c r="B14" s="602" t="s">
        <v>241</v>
      </c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</row>
    <row r="15" spans="1:19" s="361" customFormat="1" ht="15" customHeight="1">
      <c r="A15" s="592" t="s">
        <v>228</v>
      </c>
      <c r="B15" s="490"/>
      <c r="C15" s="490"/>
      <c r="D15" s="373" t="s">
        <v>7</v>
      </c>
      <c r="E15" s="373" t="s">
        <v>11</v>
      </c>
      <c r="F15" s="373" t="s">
        <v>52</v>
      </c>
      <c r="G15" s="373" t="s">
        <v>53</v>
      </c>
      <c r="H15" s="373" t="s">
        <v>242</v>
      </c>
      <c r="I15" s="373" t="s">
        <v>9</v>
      </c>
      <c r="J15" s="373" t="s">
        <v>10</v>
      </c>
      <c r="K15" s="373" t="s">
        <v>13</v>
      </c>
      <c r="L15" s="373" t="s">
        <v>12</v>
      </c>
      <c r="M15" s="373" t="s">
        <v>15</v>
      </c>
      <c r="N15" s="87" t="s">
        <v>36</v>
      </c>
      <c r="O15" s="87" t="s">
        <v>10</v>
      </c>
      <c r="P15" s="87" t="s">
        <v>127</v>
      </c>
      <c r="Q15" s="87" t="s">
        <v>10</v>
      </c>
      <c r="R15" s="371" t="s">
        <v>230</v>
      </c>
      <c r="S15" s="372"/>
    </row>
    <row r="16" spans="1:24" s="361" customFormat="1" ht="135" customHeight="1">
      <c r="A16" s="603"/>
      <c r="B16" s="490"/>
      <c r="C16" s="490"/>
      <c r="D16" s="490" t="s">
        <v>8</v>
      </c>
      <c r="E16" s="490" t="s">
        <v>11</v>
      </c>
      <c r="F16" s="373"/>
      <c r="G16" s="378"/>
      <c r="H16" s="490" t="s">
        <v>10</v>
      </c>
      <c r="I16" s="490" t="s">
        <v>8</v>
      </c>
      <c r="J16" s="490" t="s">
        <v>10</v>
      </c>
      <c r="K16" s="490" t="s">
        <v>14</v>
      </c>
      <c r="L16" s="490" t="s">
        <v>12</v>
      </c>
      <c r="M16" s="490" t="s">
        <v>15</v>
      </c>
      <c r="N16" s="493" t="s">
        <v>8</v>
      </c>
      <c r="O16" s="493" t="s">
        <v>10</v>
      </c>
      <c r="P16" s="493" t="s">
        <v>8</v>
      </c>
      <c r="Q16" s="493" t="s">
        <v>10</v>
      </c>
      <c r="R16" s="487" t="s">
        <v>8</v>
      </c>
      <c r="S16" s="487" t="s">
        <v>10</v>
      </c>
      <c r="X16" s="381"/>
    </row>
    <row r="17" spans="1:19" s="22" customFormat="1" ht="15" customHeight="1">
      <c r="A17" s="603"/>
      <c r="B17" s="490">
        <v>1</v>
      </c>
      <c r="C17" s="487" t="s">
        <v>0</v>
      </c>
      <c r="D17" s="487">
        <v>6</v>
      </c>
      <c r="E17" s="48">
        <f>6/27</f>
        <v>0.2222222222222222</v>
      </c>
      <c r="F17" s="68">
        <v>61</v>
      </c>
      <c r="G17" s="68">
        <v>33</v>
      </c>
      <c r="H17" s="65">
        <f>G17/56</f>
        <v>0.5892857142857143</v>
      </c>
      <c r="I17" s="487">
        <v>0</v>
      </c>
      <c r="J17" s="65">
        <v>0</v>
      </c>
      <c r="K17" s="487">
        <v>6</v>
      </c>
      <c r="L17" s="65">
        <f>6/12</f>
        <v>0.5</v>
      </c>
      <c r="M17" s="94">
        <v>61</v>
      </c>
      <c r="N17" s="487"/>
      <c r="O17" s="63"/>
      <c r="P17" s="487"/>
      <c r="Q17" s="295"/>
      <c r="R17" s="70"/>
      <c r="S17" s="295"/>
    </row>
    <row r="18" spans="1:19" ht="24.75" customHeight="1">
      <c r="A18" s="603"/>
      <c r="B18" s="490">
        <v>2</v>
      </c>
      <c r="C18" s="487" t="s">
        <v>1</v>
      </c>
      <c r="D18" s="487"/>
      <c r="E18" s="48"/>
      <c r="F18" s="489"/>
      <c r="G18" s="489"/>
      <c r="H18" s="489"/>
      <c r="I18" s="487"/>
      <c r="J18" s="65"/>
      <c r="K18" s="487"/>
      <c r="L18" s="65"/>
      <c r="M18" s="94"/>
      <c r="N18" s="487"/>
      <c r="O18" s="295"/>
      <c r="P18" s="487"/>
      <c r="Q18" s="295"/>
      <c r="R18" s="70"/>
      <c r="S18" s="295"/>
    </row>
    <row r="19" spans="1:19" ht="21" customHeight="1">
      <c r="A19" s="603"/>
      <c r="B19" s="490">
        <v>3</v>
      </c>
      <c r="C19" s="487" t="s">
        <v>2</v>
      </c>
      <c r="D19" s="487">
        <v>1</v>
      </c>
      <c r="E19" s="48">
        <f>1/29</f>
        <v>0.034482758620689655</v>
      </c>
      <c r="F19" s="68">
        <v>42</v>
      </c>
      <c r="G19" s="68">
        <v>17</v>
      </c>
      <c r="H19" s="65">
        <f>17/56</f>
        <v>0.30357142857142855</v>
      </c>
      <c r="I19" s="487">
        <v>0</v>
      </c>
      <c r="J19" s="65">
        <v>0</v>
      </c>
      <c r="K19" s="487"/>
      <c r="L19" s="65">
        <v>0</v>
      </c>
      <c r="M19" s="94"/>
      <c r="N19" s="487"/>
      <c r="O19" s="63"/>
      <c r="P19" s="487"/>
      <c r="Q19" s="295"/>
      <c r="R19" s="70"/>
      <c r="S19" s="295"/>
    </row>
    <row r="20" spans="1:19" ht="15">
      <c r="A20" s="603"/>
      <c r="B20" s="490">
        <v>4</v>
      </c>
      <c r="C20" s="487" t="s">
        <v>3</v>
      </c>
      <c r="D20" s="487">
        <v>2</v>
      </c>
      <c r="E20" s="48">
        <f>2/27</f>
        <v>0.07407407407407407</v>
      </c>
      <c r="F20" s="284">
        <v>81</v>
      </c>
      <c r="G20" s="68">
        <v>47</v>
      </c>
      <c r="H20" s="65">
        <f>47/56</f>
        <v>0.8392857142857143</v>
      </c>
      <c r="I20" s="487">
        <v>0</v>
      </c>
      <c r="J20" s="65">
        <v>0</v>
      </c>
      <c r="K20" s="487">
        <v>2</v>
      </c>
      <c r="L20" s="65">
        <v>1</v>
      </c>
      <c r="M20" s="68">
        <v>81</v>
      </c>
      <c r="N20" s="467"/>
      <c r="O20" s="295"/>
      <c r="P20" s="487">
        <v>1</v>
      </c>
      <c r="Q20" s="295">
        <f>P20/D20</f>
        <v>0.5</v>
      </c>
      <c r="R20" s="70"/>
      <c r="S20" s="63"/>
    </row>
    <row r="21" spans="1:19" ht="30">
      <c r="A21" s="603"/>
      <c r="B21" s="490">
        <v>5</v>
      </c>
      <c r="C21" s="487" t="s">
        <v>4</v>
      </c>
      <c r="D21" s="487"/>
      <c r="E21" s="48"/>
      <c r="F21" s="68"/>
      <c r="G21" s="68"/>
      <c r="H21" s="65"/>
      <c r="I21" s="487"/>
      <c r="J21" s="65"/>
      <c r="K21" s="487"/>
      <c r="L21" s="65"/>
      <c r="M21" s="68"/>
      <c r="N21" s="487"/>
      <c r="O21" s="295"/>
      <c r="P21" s="487"/>
      <c r="Q21" s="295"/>
      <c r="R21" s="70"/>
      <c r="S21" s="63"/>
    </row>
    <row r="22" spans="1:24" ht="30">
      <c r="A22" s="603"/>
      <c r="B22" s="490">
        <v>6</v>
      </c>
      <c r="C22" s="487" t="s">
        <v>5</v>
      </c>
      <c r="D22" s="487">
        <v>1</v>
      </c>
      <c r="E22" s="48">
        <f>1/3</f>
        <v>0.3333333333333333</v>
      </c>
      <c r="F22" s="121">
        <v>83</v>
      </c>
      <c r="G22" s="487">
        <v>48</v>
      </c>
      <c r="H22" s="65">
        <f>48/56</f>
        <v>0.8571428571428571</v>
      </c>
      <c r="I22" s="487">
        <v>0</v>
      </c>
      <c r="J22" s="65">
        <v>0</v>
      </c>
      <c r="K22" s="487">
        <v>1</v>
      </c>
      <c r="L22" s="65">
        <f>1/3</f>
        <v>0.3333333333333333</v>
      </c>
      <c r="M22" s="68">
        <v>83</v>
      </c>
      <c r="N22" s="487"/>
      <c r="O22" s="295"/>
      <c r="P22" s="487">
        <v>1</v>
      </c>
      <c r="Q22" s="295">
        <v>1</v>
      </c>
      <c r="R22" s="70"/>
      <c r="S22" s="63"/>
      <c r="X22" s="381"/>
    </row>
    <row r="23" spans="1:19" ht="15">
      <c r="A23" s="603"/>
      <c r="B23" s="496"/>
      <c r="C23" s="296" t="s">
        <v>6</v>
      </c>
      <c r="D23" s="296">
        <f>SUM(D17:D22)</f>
        <v>10</v>
      </c>
      <c r="E23" s="171">
        <f>D23/108</f>
        <v>0.09259259259259259</v>
      </c>
      <c r="F23" s="346">
        <f>(366+42+162+83)/D23</f>
        <v>65.3</v>
      </c>
      <c r="G23" s="149">
        <f>(200+17+94+48)/D23</f>
        <v>35.9</v>
      </c>
      <c r="H23" s="83">
        <f>G23/56</f>
        <v>0.6410714285714285</v>
      </c>
      <c r="I23" s="296">
        <v>0</v>
      </c>
      <c r="J23" s="83">
        <f>I23/D23</f>
        <v>0</v>
      </c>
      <c r="K23" s="296">
        <f>SUM(K17:K22)</f>
        <v>9</v>
      </c>
      <c r="L23" s="83">
        <f>K23/17</f>
        <v>0.5294117647058824</v>
      </c>
      <c r="M23" s="346">
        <v>65.3</v>
      </c>
      <c r="N23" s="296">
        <f>SUM(N17:N22)</f>
        <v>0</v>
      </c>
      <c r="O23" s="295">
        <f>N23/D23</f>
        <v>0</v>
      </c>
      <c r="P23" s="296">
        <f>SUM(P17:P22)</f>
        <v>2</v>
      </c>
      <c r="Q23" s="295">
        <f>P23/D23</f>
        <v>0.2</v>
      </c>
      <c r="R23" s="269">
        <f>SUM(R17:R22)</f>
        <v>0</v>
      </c>
      <c r="S23" s="295">
        <f>R23/D23</f>
        <v>0</v>
      </c>
    </row>
    <row r="24" spans="1:19" ht="18" customHeight="1">
      <c r="A24" s="593"/>
      <c r="B24" s="496"/>
      <c r="C24" s="296" t="s">
        <v>22</v>
      </c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8"/>
      <c r="R24" s="296"/>
      <c r="S24" s="296"/>
    </row>
    <row r="25" spans="1:19" ht="15">
      <c r="A25" s="489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R25" s="489"/>
      <c r="S25" s="489"/>
    </row>
    <row r="26" spans="1:19" s="17" customFormat="1" ht="15">
      <c r="A26" s="488"/>
      <c r="B26" s="602" t="s">
        <v>199</v>
      </c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</row>
    <row r="27" spans="1:19" s="360" customFormat="1" ht="165">
      <c r="A27" s="592" t="s">
        <v>194</v>
      </c>
      <c r="B27" s="362"/>
      <c r="C27" s="362"/>
      <c r="D27" s="373" t="s">
        <v>7</v>
      </c>
      <c r="E27" s="373" t="s">
        <v>11</v>
      </c>
      <c r="F27" s="373" t="s">
        <v>52</v>
      </c>
      <c r="G27" s="373" t="s">
        <v>53</v>
      </c>
      <c r="H27" s="373" t="s">
        <v>145</v>
      </c>
      <c r="I27" s="373" t="s">
        <v>9</v>
      </c>
      <c r="J27" s="373" t="s">
        <v>10</v>
      </c>
      <c r="K27" s="373" t="s">
        <v>13</v>
      </c>
      <c r="L27" s="373" t="s">
        <v>12</v>
      </c>
      <c r="M27" s="373" t="s">
        <v>15</v>
      </c>
      <c r="N27" s="87" t="s">
        <v>36</v>
      </c>
      <c r="O27" s="87" t="s">
        <v>10</v>
      </c>
      <c r="P27" s="87" t="s">
        <v>127</v>
      </c>
      <c r="Q27" s="87" t="s">
        <v>10</v>
      </c>
      <c r="R27" s="371" t="s">
        <v>207</v>
      </c>
      <c r="S27" s="372"/>
    </row>
    <row r="28" spans="1:19" ht="66.75" customHeight="1">
      <c r="A28" s="603"/>
      <c r="B28" s="362"/>
      <c r="C28" s="362"/>
      <c r="D28" s="362" t="s">
        <v>8</v>
      </c>
      <c r="E28" s="362" t="s">
        <v>11</v>
      </c>
      <c r="F28" s="373"/>
      <c r="G28" s="378"/>
      <c r="H28" s="362" t="s">
        <v>10</v>
      </c>
      <c r="I28" s="362" t="s">
        <v>8</v>
      </c>
      <c r="J28" s="362" t="s">
        <v>10</v>
      </c>
      <c r="K28" s="362" t="s">
        <v>14</v>
      </c>
      <c r="L28" s="362" t="s">
        <v>12</v>
      </c>
      <c r="M28" s="362" t="s">
        <v>15</v>
      </c>
      <c r="N28" s="363" t="s">
        <v>8</v>
      </c>
      <c r="O28" s="363" t="s">
        <v>10</v>
      </c>
      <c r="P28" s="363" t="s">
        <v>8</v>
      </c>
      <c r="Q28" s="363" t="s">
        <v>10</v>
      </c>
      <c r="R28" s="359" t="s">
        <v>8</v>
      </c>
      <c r="S28" s="359" t="s">
        <v>10</v>
      </c>
    </row>
    <row r="29" spans="1:19" ht="84.75" customHeight="1">
      <c r="A29" s="603"/>
      <c r="B29" s="362">
        <v>1</v>
      </c>
      <c r="C29" s="359" t="s">
        <v>0</v>
      </c>
      <c r="D29" s="359">
        <v>1</v>
      </c>
      <c r="E29" s="48">
        <f>D29/22</f>
        <v>0.045454545454545456</v>
      </c>
      <c r="F29" s="68">
        <f>45/D29</f>
        <v>45</v>
      </c>
      <c r="G29" s="68">
        <f>20/D29</f>
        <v>20</v>
      </c>
      <c r="H29" s="65">
        <f aca="true" t="shared" si="0" ref="H29:H34">G29/55</f>
        <v>0.36363636363636365</v>
      </c>
      <c r="I29" s="359">
        <v>0</v>
      </c>
      <c r="J29" s="65">
        <f>I29/D29</f>
        <v>0</v>
      </c>
      <c r="K29" s="359">
        <v>0</v>
      </c>
      <c r="L29" s="65">
        <v>0</v>
      </c>
      <c r="M29" s="94">
        <v>0</v>
      </c>
      <c r="N29" s="359"/>
      <c r="O29" s="63">
        <f aca="true" t="shared" si="1" ref="O29:O35">N29/D29</f>
        <v>0</v>
      </c>
      <c r="P29" s="359">
        <v>0</v>
      </c>
      <c r="Q29" s="295">
        <f aca="true" t="shared" si="2" ref="Q29:Q34">P29/D29</f>
        <v>0</v>
      </c>
      <c r="R29" s="70">
        <v>0</v>
      </c>
      <c r="S29" s="295">
        <f aca="true" t="shared" si="3" ref="S29:S35">R29/D29</f>
        <v>0</v>
      </c>
    </row>
    <row r="30" spans="1:19" ht="15">
      <c r="A30" s="603"/>
      <c r="B30" s="362">
        <v>2</v>
      </c>
      <c r="C30" s="359" t="s">
        <v>1</v>
      </c>
      <c r="D30" s="359">
        <v>2</v>
      </c>
      <c r="E30" s="48">
        <f>D30/21</f>
        <v>0.09523809523809523</v>
      </c>
      <c r="F30" s="68">
        <f>120/D30</f>
        <v>60</v>
      </c>
      <c r="G30" s="68">
        <f>64/D30</f>
        <v>32</v>
      </c>
      <c r="H30" s="65">
        <f t="shared" si="0"/>
        <v>0.5818181818181818</v>
      </c>
      <c r="I30" s="359">
        <v>0</v>
      </c>
      <c r="J30" s="65">
        <f>I30/D30</f>
        <v>0</v>
      </c>
      <c r="K30" s="359">
        <v>2</v>
      </c>
      <c r="L30" s="314">
        <f>K30/5</f>
        <v>0.4</v>
      </c>
      <c r="M30" s="94">
        <f>120/K30</f>
        <v>60</v>
      </c>
      <c r="N30" s="359"/>
      <c r="O30" s="295">
        <f t="shared" si="1"/>
        <v>0</v>
      </c>
      <c r="P30" s="359">
        <v>0</v>
      </c>
      <c r="Q30" s="295">
        <f t="shared" si="2"/>
        <v>0</v>
      </c>
      <c r="R30" s="70">
        <v>1</v>
      </c>
      <c r="S30" s="295">
        <f t="shared" si="3"/>
        <v>0.5</v>
      </c>
    </row>
    <row r="31" spans="1:19" ht="15">
      <c r="A31" s="603"/>
      <c r="B31" s="362">
        <v>3</v>
      </c>
      <c r="C31" s="359" t="s">
        <v>2</v>
      </c>
      <c r="D31" s="359">
        <v>4</v>
      </c>
      <c r="E31" s="48">
        <f>D31/27</f>
        <v>0.14814814814814814</v>
      </c>
      <c r="F31" s="68">
        <f>236/D31</f>
        <v>59</v>
      </c>
      <c r="G31" s="68">
        <f>126/D31</f>
        <v>31.5</v>
      </c>
      <c r="H31" s="65">
        <f t="shared" si="0"/>
        <v>0.5727272727272728</v>
      </c>
      <c r="I31" s="359">
        <v>0</v>
      </c>
      <c r="J31" s="65">
        <v>0</v>
      </c>
      <c r="K31" s="359">
        <v>0</v>
      </c>
      <c r="L31" s="65">
        <f>K31/4</f>
        <v>0</v>
      </c>
      <c r="M31" s="94" t="e">
        <f>130/K31</f>
        <v>#DIV/0!</v>
      </c>
      <c r="N31" s="359"/>
      <c r="O31" s="63">
        <f t="shared" si="1"/>
        <v>0</v>
      </c>
      <c r="P31" s="359">
        <v>0</v>
      </c>
      <c r="Q31" s="295">
        <f t="shared" si="2"/>
        <v>0</v>
      </c>
      <c r="R31" s="70">
        <v>2</v>
      </c>
      <c r="S31" s="295">
        <f t="shared" si="3"/>
        <v>0.5</v>
      </c>
    </row>
    <row r="32" spans="1:19" ht="15">
      <c r="A32" s="603"/>
      <c r="B32" s="362">
        <v>4</v>
      </c>
      <c r="C32" s="359" t="s">
        <v>3</v>
      </c>
      <c r="D32" s="359">
        <v>3</v>
      </c>
      <c r="E32" s="48">
        <f>D32/26</f>
        <v>0.11538461538461539</v>
      </c>
      <c r="F32" s="68">
        <f>174/D32</f>
        <v>58</v>
      </c>
      <c r="G32" s="68">
        <f>92/D32</f>
        <v>30.666666666666668</v>
      </c>
      <c r="H32" s="65">
        <f t="shared" si="0"/>
        <v>0.5575757575757576</v>
      </c>
      <c r="I32" s="359">
        <v>0</v>
      </c>
      <c r="J32" s="65">
        <f>I32/D32</f>
        <v>0</v>
      </c>
      <c r="K32" s="359">
        <v>3</v>
      </c>
      <c r="L32" s="65">
        <f>K32/3</f>
        <v>1</v>
      </c>
      <c r="M32" s="68">
        <f>174/K32</f>
        <v>58</v>
      </c>
      <c r="N32" s="380"/>
      <c r="O32" s="295">
        <f t="shared" si="1"/>
        <v>0</v>
      </c>
      <c r="P32" s="359">
        <v>0</v>
      </c>
      <c r="Q32" s="295">
        <f t="shared" si="2"/>
        <v>0</v>
      </c>
      <c r="R32" s="70">
        <v>1</v>
      </c>
      <c r="S32" s="63">
        <f t="shared" si="3"/>
        <v>0.3333333333333333</v>
      </c>
    </row>
    <row r="33" spans="1:19" ht="30">
      <c r="A33" s="603"/>
      <c r="B33" s="362">
        <v>5</v>
      </c>
      <c r="C33" s="359" t="s">
        <v>4</v>
      </c>
      <c r="D33" s="359">
        <v>1</v>
      </c>
      <c r="E33" s="48">
        <f>D33/4</f>
        <v>0.25</v>
      </c>
      <c r="F33" s="68">
        <f>36/D33</f>
        <v>36</v>
      </c>
      <c r="G33" s="68">
        <f>12/D33</f>
        <v>12</v>
      </c>
      <c r="H33" s="65">
        <f t="shared" si="0"/>
        <v>0.21818181818181817</v>
      </c>
      <c r="I33" s="359">
        <v>0</v>
      </c>
      <c r="J33" s="65">
        <f>I33/D33</f>
        <v>0</v>
      </c>
      <c r="K33" s="426">
        <v>1</v>
      </c>
      <c r="L33" s="65">
        <f>K33/1</f>
        <v>1</v>
      </c>
      <c r="M33" s="285">
        <v>36</v>
      </c>
      <c r="N33" s="359"/>
      <c r="O33" s="295">
        <f t="shared" si="1"/>
        <v>0</v>
      </c>
      <c r="P33" s="359">
        <v>0</v>
      </c>
      <c r="Q33" s="295">
        <f t="shared" si="2"/>
        <v>0</v>
      </c>
      <c r="R33" s="70">
        <v>0</v>
      </c>
      <c r="S33" s="63">
        <f t="shared" si="3"/>
        <v>0</v>
      </c>
    </row>
    <row r="34" spans="1:19" ht="30">
      <c r="A34" s="603"/>
      <c r="B34" s="362">
        <v>6</v>
      </c>
      <c r="C34" s="359" t="s">
        <v>5</v>
      </c>
      <c r="D34" s="359"/>
      <c r="E34" s="48">
        <f>D34/2</f>
        <v>0</v>
      </c>
      <c r="F34" s="359"/>
      <c r="G34" s="359"/>
      <c r="H34" s="65">
        <f t="shared" si="0"/>
        <v>0</v>
      </c>
      <c r="I34" s="359">
        <v>0</v>
      </c>
      <c r="J34" s="65">
        <v>0</v>
      </c>
      <c r="K34" s="359">
        <v>0</v>
      </c>
      <c r="L34" s="65">
        <f>K34/2</f>
        <v>0</v>
      </c>
      <c r="M34" s="68">
        <v>0</v>
      </c>
      <c r="N34" s="359"/>
      <c r="O34" s="295" t="e">
        <f t="shared" si="1"/>
        <v>#DIV/0!</v>
      </c>
      <c r="P34" s="359">
        <v>0</v>
      </c>
      <c r="Q34" s="295" t="e">
        <f t="shared" si="2"/>
        <v>#DIV/0!</v>
      </c>
      <c r="R34" s="70">
        <v>0</v>
      </c>
      <c r="S34" s="63" t="e">
        <f t="shared" si="3"/>
        <v>#DIV/0!</v>
      </c>
    </row>
    <row r="35" spans="1:19" ht="15">
      <c r="A35" s="603"/>
      <c r="B35" s="290"/>
      <c r="C35" s="296" t="s">
        <v>6</v>
      </c>
      <c r="D35" s="296">
        <f>SUM(D29:D34)</f>
        <v>11</v>
      </c>
      <c r="E35" s="171">
        <f>D35/100</f>
        <v>0.11</v>
      </c>
      <c r="F35" s="287">
        <f>611/D35</f>
        <v>55.54545454545455</v>
      </c>
      <c r="G35" s="149">
        <f>314/D35</f>
        <v>28.545454545454547</v>
      </c>
      <c r="H35" s="83">
        <f>314/(55*D35)</f>
        <v>0.5190082644628099</v>
      </c>
      <c r="I35" s="296">
        <v>0</v>
      </c>
      <c r="J35" s="83">
        <f>I35/D35</f>
        <v>0</v>
      </c>
      <c r="K35" s="296">
        <f>SUM(K29:K34)</f>
        <v>6</v>
      </c>
      <c r="L35" s="83">
        <f>K35/12</f>
        <v>0.5</v>
      </c>
      <c r="M35" s="346">
        <f>424/K35</f>
        <v>70.66666666666667</v>
      </c>
      <c r="N35" s="296">
        <f>SUM(N29:N34)</f>
        <v>0</v>
      </c>
      <c r="O35" s="295">
        <f t="shared" si="1"/>
        <v>0</v>
      </c>
      <c r="P35" s="296">
        <f>SUM(P29:P34)</f>
        <v>0</v>
      </c>
      <c r="Q35" s="295">
        <f>P35/D35</f>
        <v>0</v>
      </c>
      <c r="R35" s="269">
        <f>SUM(R29:R34)</f>
        <v>4</v>
      </c>
      <c r="S35" s="295">
        <f t="shared" si="3"/>
        <v>0.36363636363636365</v>
      </c>
    </row>
    <row r="36" spans="1:19" ht="15">
      <c r="A36" s="593"/>
      <c r="B36" s="290"/>
      <c r="C36" s="296" t="s">
        <v>22</v>
      </c>
      <c r="D36" s="296"/>
      <c r="E36" s="296"/>
      <c r="F36" s="296">
        <v>60.59</v>
      </c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8"/>
      <c r="R36" s="296"/>
      <c r="S36" s="296"/>
    </row>
    <row r="37" spans="1:19" ht="15">
      <c r="A37" s="36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278"/>
      <c r="O37" s="278"/>
      <c r="P37" s="278"/>
      <c r="Q37" s="278"/>
      <c r="R37" s="278"/>
      <c r="S37" s="278"/>
    </row>
    <row r="38" spans="1:19" ht="15">
      <c r="A38" s="360"/>
      <c r="B38" s="602" t="s">
        <v>144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</row>
    <row r="39" spans="1:19" ht="121.5" customHeight="1">
      <c r="A39" s="592" t="s">
        <v>140</v>
      </c>
      <c r="B39" s="362"/>
      <c r="C39" s="362"/>
      <c r="D39" s="592" t="s">
        <v>7</v>
      </c>
      <c r="E39" s="592" t="s">
        <v>11</v>
      </c>
      <c r="F39" s="592" t="s">
        <v>52</v>
      </c>
      <c r="G39" s="377" t="s">
        <v>53</v>
      </c>
      <c r="H39" s="377" t="s">
        <v>145</v>
      </c>
      <c r="I39" s="592" t="s">
        <v>9</v>
      </c>
      <c r="J39" s="592" t="s">
        <v>10</v>
      </c>
      <c r="K39" s="592" t="s">
        <v>13</v>
      </c>
      <c r="L39" s="592" t="s">
        <v>12</v>
      </c>
      <c r="M39" s="592" t="s">
        <v>15</v>
      </c>
      <c r="N39" s="613" t="s">
        <v>36</v>
      </c>
      <c r="O39" s="613" t="s">
        <v>10</v>
      </c>
      <c r="P39" s="613" t="s">
        <v>127</v>
      </c>
      <c r="Q39" s="613" t="s">
        <v>10</v>
      </c>
      <c r="R39" s="594" t="s">
        <v>168</v>
      </c>
      <c r="S39" s="612"/>
    </row>
    <row r="40" spans="1:19" ht="18.75" customHeight="1">
      <c r="A40" s="603"/>
      <c r="B40" s="362"/>
      <c r="C40" s="362"/>
      <c r="D40" s="593"/>
      <c r="E40" s="593"/>
      <c r="F40" s="593"/>
      <c r="G40" s="378"/>
      <c r="H40" s="378"/>
      <c r="I40" s="593"/>
      <c r="J40" s="593"/>
      <c r="K40" s="593"/>
      <c r="L40" s="593"/>
      <c r="M40" s="593"/>
      <c r="N40" s="614"/>
      <c r="O40" s="614"/>
      <c r="P40" s="614"/>
      <c r="Q40" s="614"/>
      <c r="R40" s="359" t="s">
        <v>8</v>
      </c>
      <c r="S40" s="359" t="s">
        <v>10</v>
      </c>
    </row>
    <row r="41" spans="1:19" ht="15">
      <c r="A41" s="603"/>
      <c r="B41" s="362">
        <v>1</v>
      </c>
      <c r="C41" s="362" t="s">
        <v>0</v>
      </c>
      <c r="D41" s="362">
        <v>7</v>
      </c>
      <c r="E41" s="291">
        <f>D41/51</f>
        <v>0.13725490196078433</v>
      </c>
      <c r="F41" s="285">
        <f>387/D41</f>
        <v>55.285714285714285</v>
      </c>
      <c r="G41" s="365">
        <f>197/D41</f>
        <v>28.142857142857142</v>
      </c>
      <c r="H41" s="364">
        <f>G41/55</f>
        <v>0.5116883116883116</v>
      </c>
      <c r="I41" s="362">
        <v>0</v>
      </c>
      <c r="J41" s="364">
        <f>I41/D41</f>
        <v>0</v>
      </c>
      <c r="K41" s="362">
        <v>0</v>
      </c>
      <c r="L41" s="364">
        <v>0</v>
      </c>
      <c r="M41" s="11">
        <v>0</v>
      </c>
      <c r="N41" s="363"/>
      <c r="O41" s="85">
        <f aca="true" t="shared" si="4" ref="O41:O47">N41/D41</f>
        <v>0</v>
      </c>
      <c r="P41" s="363">
        <v>0</v>
      </c>
      <c r="Q41" s="43">
        <f aca="true" t="shared" si="5" ref="Q41:Q46">P41/D41</f>
        <v>0</v>
      </c>
      <c r="R41" s="70">
        <v>2</v>
      </c>
      <c r="S41" s="295">
        <f>R41/D41</f>
        <v>0.2857142857142857</v>
      </c>
    </row>
    <row r="42" spans="1:19" ht="15">
      <c r="A42" s="603"/>
      <c r="B42" s="362">
        <v>2</v>
      </c>
      <c r="C42" s="362" t="s">
        <v>1</v>
      </c>
      <c r="D42" s="362">
        <v>3</v>
      </c>
      <c r="E42" s="291">
        <f>D42/19</f>
        <v>0.15789473684210525</v>
      </c>
      <c r="F42" s="105">
        <f>210/D42</f>
        <v>70</v>
      </c>
      <c r="G42" s="365">
        <f>113/D42</f>
        <v>37.666666666666664</v>
      </c>
      <c r="H42" s="364">
        <f>G42/55</f>
        <v>0.6848484848484848</v>
      </c>
      <c r="I42" s="362">
        <v>0</v>
      </c>
      <c r="J42" s="364">
        <f>I42/D42</f>
        <v>0</v>
      </c>
      <c r="K42" s="362">
        <v>0</v>
      </c>
      <c r="L42" s="364">
        <v>0</v>
      </c>
      <c r="M42" s="362">
        <v>0</v>
      </c>
      <c r="N42" s="363"/>
      <c r="O42" s="43">
        <f t="shared" si="4"/>
        <v>0</v>
      </c>
      <c r="P42" s="363">
        <v>1</v>
      </c>
      <c r="Q42" s="43">
        <f t="shared" si="5"/>
        <v>0.3333333333333333</v>
      </c>
      <c r="R42" s="70">
        <v>2</v>
      </c>
      <c r="S42" s="295">
        <f>R42/D42</f>
        <v>0.6666666666666666</v>
      </c>
    </row>
    <row r="43" spans="1:19" ht="15">
      <c r="A43" s="603"/>
      <c r="B43" s="362">
        <v>3</v>
      </c>
      <c r="C43" s="362" t="s">
        <v>2</v>
      </c>
      <c r="D43" s="362">
        <v>4</v>
      </c>
      <c r="E43" s="291">
        <f>D43/26</f>
        <v>0.15384615384615385</v>
      </c>
      <c r="F43" s="285">
        <f>272/D43</f>
        <v>68</v>
      </c>
      <c r="G43" s="365">
        <f>155/D43</f>
        <v>38.75</v>
      </c>
      <c r="H43" s="364">
        <f>G43/55</f>
        <v>0.7045454545454546</v>
      </c>
      <c r="I43" s="362">
        <v>0</v>
      </c>
      <c r="J43" s="364">
        <v>0</v>
      </c>
      <c r="K43" s="362">
        <v>0</v>
      </c>
      <c r="L43" s="364">
        <v>0</v>
      </c>
      <c r="M43" s="11">
        <v>0</v>
      </c>
      <c r="N43" s="363"/>
      <c r="O43" s="85">
        <f t="shared" si="4"/>
        <v>0</v>
      </c>
      <c r="P43" s="363">
        <v>0</v>
      </c>
      <c r="Q43" s="43">
        <f t="shared" si="5"/>
        <v>0</v>
      </c>
      <c r="R43" s="70">
        <v>4</v>
      </c>
      <c r="S43" s="295">
        <f>R43/D43</f>
        <v>1</v>
      </c>
    </row>
    <row r="44" spans="1:19" ht="15">
      <c r="A44" s="603"/>
      <c r="B44" s="362">
        <v>4</v>
      </c>
      <c r="C44" s="362" t="s">
        <v>3</v>
      </c>
      <c r="D44" s="362">
        <v>3</v>
      </c>
      <c r="E44" s="291">
        <f>D44/25</f>
        <v>0.12</v>
      </c>
      <c r="F44" s="285">
        <f>153/D44</f>
        <v>51</v>
      </c>
      <c r="G44" s="365">
        <f>74/D44</f>
        <v>24.666666666666668</v>
      </c>
      <c r="H44" s="364">
        <f>G44/55</f>
        <v>0.4484848484848485</v>
      </c>
      <c r="I44" s="362">
        <v>0</v>
      </c>
      <c r="J44" s="364">
        <f>I44/D44</f>
        <v>0</v>
      </c>
      <c r="K44" s="105">
        <v>3</v>
      </c>
      <c r="L44" s="314">
        <f>K44/14</f>
        <v>0.21428571428571427</v>
      </c>
      <c r="M44" s="365">
        <f>153/D44</f>
        <v>51</v>
      </c>
      <c r="N44" s="87"/>
      <c r="O44" s="43">
        <f t="shared" si="4"/>
        <v>0</v>
      </c>
      <c r="P44" s="363">
        <v>0</v>
      </c>
      <c r="Q44" s="43">
        <f t="shared" si="5"/>
        <v>0</v>
      </c>
      <c r="R44" s="70">
        <v>1</v>
      </c>
      <c r="S44" s="63">
        <f>R44/D44</f>
        <v>0.3333333333333333</v>
      </c>
    </row>
    <row r="45" spans="1:19" ht="30">
      <c r="A45" s="603"/>
      <c r="B45" s="362">
        <v>5</v>
      </c>
      <c r="C45" s="362" t="s">
        <v>4</v>
      </c>
      <c r="D45" s="362">
        <v>0</v>
      </c>
      <c r="E45" s="291">
        <f>D45/2</f>
        <v>0</v>
      </c>
      <c r="F45" s="362"/>
      <c r="G45" s="362"/>
      <c r="H45" s="362"/>
      <c r="I45" s="362"/>
      <c r="J45" s="364"/>
      <c r="K45" s="362"/>
      <c r="L45" s="362"/>
      <c r="M45" s="362"/>
      <c r="N45" s="363"/>
      <c r="O45" s="43" t="e">
        <f t="shared" si="4"/>
        <v>#DIV/0!</v>
      </c>
      <c r="P45" s="363"/>
      <c r="Q45" s="43" t="e">
        <f t="shared" si="5"/>
        <v>#DIV/0!</v>
      </c>
      <c r="R45" s="70">
        <f>SUM(N46:Q46)</f>
        <v>0</v>
      </c>
      <c r="S45" s="295"/>
    </row>
    <row r="46" spans="1:19" ht="30">
      <c r="A46" s="603"/>
      <c r="B46" s="362">
        <v>6</v>
      </c>
      <c r="C46" s="362" t="s">
        <v>5</v>
      </c>
      <c r="D46" s="362">
        <v>1</v>
      </c>
      <c r="E46" s="291">
        <f>D46/2</f>
        <v>0.5</v>
      </c>
      <c r="F46" s="105">
        <v>49</v>
      </c>
      <c r="G46" s="362">
        <v>23</v>
      </c>
      <c r="H46" s="364">
        <f>G46/55</f>
        <v>0.41818181818181815</v>
      </c>
      <c r="I46" s="362">
        <v>0</v>
      </c>
      <c r="J46" s="364">
        <v>0</v>
      </c>
      <c r="K46" s="362">
        <v>0</v>
      </c>
      <c r="L46" s="364">
        <f>K46/2</f>
        <v>0</v>
      </c>
      <c r="M46" s="362">
        <v>49</v>
      </c>
      <c r="N46" s="363"/>
      <c r="O46" s="43">
        <f t="shared" si="4"/>
        <v>0</v>
      </c>
      <c r="P46" s="363">
        <v>0</v>
      </c>
      <c r="Q46" s="43">
        <f t="shared" si="5"/>
        <v>0</v>
      </c>
      <c r="R46" s="70">
        <v>0</v>
      </c>
      <c r="S46" s="295">
        <f>R46/D46</f>
        <v>0</v>
      </c>
    </row>
    <row r="47" spans="1:19" ht="15">
      <c r="A47" s="603"/>
      <c r="B47" s="290"/>
      <c r="C47" s="290" t="s">
        <v>6</v>
      </c>
      <c r="D47" s="290">
        <f>SUM(D41:D46)</f>
        <v>18</v>
      </c>
      <c r="E47" s="292">
        <f>D47/123</f>
        <v>0.14634146341463414</v>
      </c>
      <c r="F47" s="279">
        <f>1071/D47</f>
        <v>59.5</v>
      </c>
      <c r="G47" s="67">
        <f>562/D47</f>
        <v>31.22222222222222</v>
      </c>
      <c r="H47" s="13">
        <f>665/(55*D47)</f>
        <v>0.6717171717171717</v>
      </c>
      <c r="I47" s="290">
        <v>0</v>
      </c>
      <c r="J47" s="13">
        <f>I47/D47</f>
        <v>0</v>
      </c>
      <c r="K47" s="310">
        <f>SUM(K41:K46)</f>
        <v>3</v>
      </c>
      <c r="L47" s="311">
        <f>K47/16</f>
        <v>0.1875</v>
      </c>
      <c r="M47" s="21">
        <f>202/3</f>
        <v>67.33333333333333</v>
      </c>
      <c r="N47" s="44">
        <f>SUM(N41:N46)</f>
        <v>0</v>
      </c>
      <c r="O47" s="43">
        <f t="shared" si="4"/>
        <v>0</v>
      </c>
      <c r="P47" s="281">
        <f>SUM(P41:P46)</f>
        <v>1</v>
      </c>
      <c r="Q47" s="305">
        <f>P47/D47</f>
        <v>0.05555555555555555</v>
      </c>
      <c r="R47" s="313">
        <f>SUM(R41:R46)</f>
        <v>9</v>
      </c>
      <c r="S47" s="312">
        <f>R47/D47</f>
        <v>0.5</v>
      </c>
    </row>
    <row r="48" spans="1:19" ht="15">
      <c r="A48" s="593"/>
      <c r="B48" s="290"/>
      <c r="C48" s="290" t="s">
        <v>22</v>
      </c>
      <c r="D48" s="290"/>
      <c r="E48" s="290"/>
      <c r="F48" s="290">
        <v>59.25</v>
      </c>
      <c r="G48" s="290"/>
      <c r="H48" s="290"/>
      <c r="I48" s="290"/>
      <c r="J48" s="290"/>
      <c r="K48" s="290"/>
      <c r="L48" s="290"/>
      <c r="M48" s="290"/>
      <c r="N48" s="44"/>
      <c r="O48" s="44"/>
      <c r="P48" s="44"/>
      <c r="Q48" s="86"/>
      <c r="R48" s="296"/>
      <c r="S48" s="296"/>
    </row>
    <row r="49" spans="1:19" ht="15">
      <c r="A49" s="362"/>
      <c r="B49" s="374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6"/>
    </row>
    <row r="50" spans="1:19" ht="165">
      <c r="A50" s="379" t="s">
        <v>138</v>
      </c>
      <c r="B50" s="362"/>
      <c r="C50" s="362"/>
      <c r="D50" s="373" t="s">
        <v>7</v>
      </c>
      <c r="E50" s="373"/>
      <c r="F50" s="373" t="s">
        <v>52</v>
      </c>
      <c r="G50" s="377" t="s">
        <v>53</v>
      </c>
      <c r="H50" s="377" t="s">
        <v>54</v>
      </c>
      <c r="I50" s="373" t="s">
        <v>9</v>
      </c>
      <c r="J50" s="373"/>
      <c r="K50" s="373" t="s">
        <v>13</v>
      </c>
      <c r="L50" s="373"/>
      <c r="M50" s="373"/>
      <c r="N50" s="87" t="s">
        <v>36</v>
      </c>
      <c r="O50" s="87"/>
      <c r="P50" s="87" t="s">
        <v>127</v>
      </c>
      <c r="Q50" s="87"/>
      <c r="R50" s="371" t="s">
        <v>136</v>
      </c>
      <c r="S50" s="372"/>
    </row>
    <row r="51" spans="1:19" ht="180">
      <c r="A51" s="373"/>
      <c r="B51" s="362"/>
      <c r="C51" s="362"/>
      <c r="D51" s="362" t="s">
        <v>8</v>
      </c>
      <c r="E51" s="362" t="s">
        <v>11</v>
      </c>
      <c r="F51" s="373"/>
      <c r="G51" s="378"/>
      <c r="H51" s="378"/>
      <c r="I51" s="362" t="s">
        <v>8</v>
      </c>
      <c r="J51" s="362" t="s">
        <v>10</v>
      </c>
      <c r="K51" s="362" t="s">
        <v>14</v>
      </c>
      <c r="L51" s="362" t="s">
        <v>12</v>
      </c>
      <c r="M51" s="362" t="s">
        <v>15</v>
      </c>
      <c r="N51" s="363" t="s">
        <v>8</v>
      </c>
      <c r="O51" s="363" t="s">
        <v>10</v>
      </c>
      <c r="P51" s="363" t="s">
        <v>8</v>
      </c>
      <c r="Q51" s="363" t="s">
        <v>10</v>
      </c>
      <c r="R51" s="359" t="s">
        <v>8</v>
      </c>
      <c r="S51" s="359" t="s">
        <v>10</v>
      </c>
    </row>
    <row r="52" spans="1:19" ht="15">
      <c r="A52" s="373"/>
      <c r="B52" s="362">
        <v>1</v>
      </c>
      <c r="C52" s="362" t="s">
        <v>0</v>
      </c>
      <c r="D52" s="362">
        <v>6</v>
      </c>
      <c r="E52" s="291">
        <f>D52/25</f>
        <v>0.24</v>
      </c>
      <c r="F52" s="365">
        <f>364/D52</f>
        <v>60.666666666666664</v>
      </c>
      <c r="G52" s="362">
        <f>195/D52</f>
        <v>32.5</v>
      </c>
      <c r="H52" s="364">
        <f>G52/53</f>
        <v>0.6132075471698113</v>
      </c>
      <c r="I52" s="362">
        <v>0</v>
      </c>
      <c r="J52" s="364">
        <f>I52/D52</f>
        <v>0</v>
      </c>
      <c r="K52" s="362">
        <v>0</v>
      </c>
      <c r="L52" s="291">
        <v>0</v>
      </c>
      <c r="M52" s="11">
        <v>0</v>
      </c>
      <c r="N52" s="363"/>
      <c r="O52" s="85">
        <f aca="true" t="shared" si="6" ref="O52:O58">N52/D52</f>
        <v>0</v>
      </c>
      <c r="P52" s="363">
        <v>0</v>
      </c>
      <c r="Q52" s="43">
        <f aca="true" t="shared" si="7" ref="Q52:Q57">P52/D52</f>
        <v>0</v>
      </c>
      <c r="R52" s="70">
        <v>3</v>
      </c>
      <c r="S52" s="295">
        <f>R52/D52</f>
        <v>0.5</v>
      </c>
    </row>
    <row r="53" spans="1:19" ht="15">
      <c r="A53" s="373"/>
      <c r="B53" s="362">
        <v>2</v>
      </c>
      <c r="C53" s="362" t="s">
        <v>1</v>
      </c>
      <c r="D53" s="362">
        <v>1</v>
      </c>
      <c r="E53" s="291">
        <f>D53/20</f>
        <v>0.05</v>
      </c>
      <c r="F53" s="362">
        <v>72</v>
      </c>
      <c r="G53" s="362">
        <v>43</v>
      </c>
      <c r="H53" s="364">
        <f>G53/53</f>
        <v>0.8113207547169812</v>
      </c>
      <c r="I53" s="362">
        <v>0</v>
      </c>
      <c r="J53" s="364">
        <f>I53/D53</f>
        <v>0</v>
      </c>
      <c r="K53" s="362">
        <v>0</v>
      </c>
      <c r="L53" s="364">
        <f>K53/9</f>
        <v>0</v>
      </c>
      <c r="M53" s="362">
        <v>0</v>
      </c>
      <c r="N53" s="363"/>
      <c r="O53" s="43">
        <f t="shared" si="6"/>
        <v>0</v>
      </c>
      <c r="P53" s="363">
        <v>0</v>
      </c>
      <c r="Q53" s="43">
        <f t="shared" si="7"/>
        <v>0</v>
      </c>
      <c r="R53" s="70">
        <v>1</v>
      </c>
      <c r="S53" s="295">
        <f>R53/D53</f>
        <v>1</v>
      </c>
    </row>
    <row r="54" spans="1:19" ht="15">
      <c r="A54" s="373"/>
      <c r="B54" s="362">
        <v>3</v>
      </c>
      <c r="C54" s="362" t="s">
        <v>2</v>
      </c>
      <c r="D54" s="362">
        <v>6</v>
      </c>
      <c r="E54" s="291">
        <f>D54/27</f>
        <v>0.2222222222222222</v>
      </c>
      <c r="F54" s="365">
        <f>419/D54</f>
        <v>69.83333333333333</v>
      </c>
      <c r="G54" s="365">
        <f>242/D54</f>
        <v>40.333333333333336</v>
      </c>
      <c r="H54" s="364">
        <f>G54/53</f>
        <v>0.7610062893081762</v>
      </c>
      <c r="I54" s="362">
        <v>0</v>
      </c>
      <c r="J54" s="364">
        <v>0</v>
      </c>
      <c r="K54" s="362">
        <v>0</v>
      </c>
      <c r="L54" s="291">
        <f>K54/18</f>
        <v>0</v>
      </c>
      <c r="M54" s="11">
        <v>0</v>
      </c>
      <c r="N54" s="363"/>
      <c r="O54" s="85">
        <f t="shared" si="6"/>
        <v>0</v>
      </c>
      <c r="P54" s="363">
        <v>0</v>
      </c>
      <c r="Q54" s="43">
        <f t="shared" si="7"/>
        <v>0</v>
      </c>
      <c r="R54" s="70">
        <v>6</v>
      </c>
      <c r="S54" s="295">
        <f>R54/D54</f>
        <v>1</v>
      </c>
    </row>
    <row r="55" spans="1:19" ht="15">
      <c r="A55" s="373"/>
      <c r="B55" s="362">
        <v>4</v>
      </c>
      <c r="C55" s="362" t="s">
        <v>3</v>
      </c>
      <c r="D55" s="362">
        <v>4</v>
      </c>
      <c r="E55" s="291">
        <f>D55/28</f>
        <v>0.14285714285714285</v>
      </c>
      <c r="F55" s="365">
        <f>263/D55</f>
        <v>65.75</v>
      </c>
      <c r="G55" s="365">
        <f>147/D55</f>
        <v>36.75</v>
      </c>
      <c r="H55" s="364">
        <f>G55/53</f>
        <v>0.6933962264150944</v>
      </c>
      <c r="I55" s="362">
        <v>0</v>
      </c>
      <c r="J55" s="364">
        <f>I55/D55</f>
        <v>0</v>
      </c>
      <c r="K55" s="362">
        <v>4</v>
      </c>
      <c r="L55" s="364">
        <f>K55/12</f>
        <v>0.3333333333333333</v>
      </c>
      <c r="M55" s="365">
        <f>147/D55</f>
        <v>36.75</v>
      </c>
      <c r="N55" s="87"/>
      <c r="O55" s="43">
        <f t="shared" si="6"/>
        <v>0</v>
      </c>
      <c r="P55" s="363">
        <v>0</v>
      </c>
      <c r="Q55" s="43">
        <f t="shared" si="7"/>
        <v>0</v>
      </c>
      <c r="R55" s="70">
        <v>2</v>
      </c>
      <c r="S55" s="63">
        <f>R55/D55</f>
        <v>0.5</v>
      </c>
    </row>
    <row r="56" spans="1:19" ht="30">
      <c r="A56" s="373"/>
      <c r="B56" s="362">
        <v>5</v>
      </c>
      <c r="C56" s="362" t="s">
        <v>4</v>
      </c>
      <c r="D56" s="362">
        <v>0</v>
      </c>
      <c r="E56" s="291">
        <f>D56/2</f>
        <v>0</v>
      </c>
      <c r="F56" s="362"/>
      <c r="G56" s="362"/>
      <c r="H56" s="362"/>
      <c r="I56" s="362"/>
      <c r="J56" s="364"/>
      <c r="K56" s="362"/>
      <c r="L56" s="362"/>
      <c r="M56" s="362"/>
      <c r="N56" s="363"/>
      <c r="O56" s="43" t="e">
        <f t="shared" si="6"/>
        <v>#DIV/0!</v>
      </c>
      <c r="P56" s="363"/>
      <c r="Q56" s="43" t="e">
        <f t="shared" si="7"/>
        <v>#DIV/0!</v>
      </c>
      <c r="R56" s="70">
        <f>SUM(N57:Q57)</f>
        <v>0</v>
      </c>
      <c r="S56" s="295"/>
    </row>
    <row r="57" spans="1:19" ht="30">
      <c r="A57" s="373"/>
      <c r="B57" s="362">
        <v>6</v>
      </c>
      <c r="C57" s="362" t="s">
        <v>5</v>
      </c>
      <c r="D57" s="362">
        <v>1</v>
      </c>
      <c r="E57" s="291">
        <f>D57/5</f>
        <v>0.2</v>
      </c>
      <c r="F57" s="362">
        <v>67</v>
      </c>
      <c r="G57" s="362">
        <v>38</v>
      </c>
      <c r="H57" s="364">
        <f>G57/53</f>
        <v>0.7169811320754716</v>
      </c>
      <c r="I57" s="362">
        <v>0</v>
      </c>
      <c r="J57" s="364">
        <v>0</v>
      </c>
      <c r="K57" s="362">
        <v>0</v>
      </c>
      <c r="L57" s="362">
        <v>0</v>
      </c>
      <c r="M57" s="362">
        <v>0</v>
      </c>
      <c r="N57" s="363"/>
      <c r="O57" s="43">
        <f t="shared" si="6"/>
        <v>0</v>
      </c>
      <c r="P57" s="363">
        <v>0</v>
      </c>
      <c r="Q57" s="43">
        <f t="shared" si="7"/>
        <v>0</v>
      </c>
      <c r="R57" s="70">
        <v>1</v>
      </c>
      <c r="S57" s="295">
        <f>R57/D57</f>
        <v>1</v>
      </c>
    </row>
    <row r="58" spans="1:19" ht="15">
      <c r="A58" s="373"/>
      <c r="B58" s="290"/>
      <c r="C58" s="290" t="s">
        <v>6</v>
      </c>
      <c r="D58" s="290">
        <f>SUM(D52:D57)</f>
        <v>18</v>
      </c>
      <c r="E58" s="292">
        <f>D58/107</f>
        <v>0.16822429906542055</v>
      </c>
      <c r="F58" s="67">
        <f>1185/D58</f>
        <v>65.83333333333333</v>
      </c>
      <c r="G58" s="67">
        <f>665/D58</f>
        <v>36.94444444444444</v>
      </c>
      <c r="H58" s="13">
        <f>665/(53*D58)</f>
        <v>0.6970649895178197</v>
      </c>
      <c r="I58" s="290">
        <v>0</v>
      </c>
      <c r="J58" s="13">
        <f>I58/D58</f>
        <v>0</v>
      </c>
      <c r="K58" s="290">
        <f>SUM(K52:K57)</f>
        <v>4</v>
      </c>
      <c r="L58" s="290">
        <v>33.3</v>
      </c>
      <c r="M58" s="290">
        <v>36.8</v>
      </c>
      <c r="N58" s="44">
        <f>SUM(N52:N57)</f>
        <v>0</v>
      </c>
      <c r="O58" s="43">
        <f t="shared" si="6"/>
        <v>0</v>
      </c>
      <c r="P58" s="44">
        <f>SUM(P52:P57)</f>
        <v>0</v>
      </c>
      <c r="Q58" s="43">
        <f>P58/D58</f>
        <v>0</v>
      </c>
      <c r="R58" s="269">
        <v>13</v>
      </c>
      <c r="S58" s="295">
        <f>R58/D58</f>
        <v>0.7222222222222222</v>
      </c>
    </row>
    <row r="59" spans="1:19" ht="15">
      <c r="A59" s="373"/>
      <c r="B59" s="290"/>
      <c r="C59" s="290" t="s">
        <v>22</v>
      </c>
      <c r="D59" s="290"/>
      <c r="E59" s="290"/>
      <c r="F59" s="290">
        <v>60.09</v>
      </c>
      <c r="G59" s="290"/>
      <c r="H59" s="290"/>
      <c r="I59" s="290"/>
      <c r="J59" s="290"/>
      <c r="K59" s="290"/>
      <c r="L59" s="290"/>
      <c r="M59" s="290"/>
      <c r="N59" s="44"/>
      <c r="O59" s="44"/>
      <c r="P59" s="44"/>
      <c r="Q59" s="86">
        <v>0.1202</v>
      </c>
      <c r="R59" s="296"/>
      <c r="S59" s="296">
        <v>51</v>
      </c>
    </row>
  </sheetData>
  <sheetProtection/>
  <mergeCells count="23">
    <mergeCell ref="O39:O40"/>
    <mergeCell ref="P39:P40"/>
    <mergeCell ref="N2:O2"/>
    <mergeCell ref="A15:A24"/>
    <mergeCell ref="B14:S14"/>
    <mergeCell ref="R39:S39"/>
    <mergeCell ref="F39:F40"/>
    <mergeCell ref="J39:J40"/>
    <mergeCell ref="Q39:Q40"/>
    <mergeCell ref="K39:K40"/>
    <mergeCell ref="L39:L40"/>
    <mergeCell ref="M39:M40"/>
    <mergeCell ref="N39:N40"/>
    <mergeCell ref="A39:A48"/>
    <mergeCell ref="E39:E40"/>
    <mergeCell ref="D39:D40"/>
    <mergeCell ref="I39:I40"/>
    <mergeCell ref="B1:S1"/>
    <mergeCell ref="A2:A11"/>
    <mergeCell ref="R2:S2"/>
    <mergeCell ref="B38:S38"/>
    <mergeCell ref="B26:S26"/>
    <mergeCell ref="A27:A36"/>
  </mergeCells>
  <printOptions/>
  <pageMargins left="0.7" right="0.7" top="0.75" bottom="0.75" header="0.3" footer="0.3"/>
  <pageSetup horizontalDpi="600" verticalDpi="600" orientation="landscape" paperSize="9" scale="58" r:id="rId1"/>
  <rowBreaks count="1" manualBreakCount="1">
    <brk id="36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69"/>
  <sheetViews>
    <sheetView view="pageBreakPreview" zoomScaleSheetLayoutView="100" zoomScalePageLayoutView="0" workbookViewId="0" topLeftCell="A4">
      <selection activeCell="V12" sqref="A1:V12"/>
    </sheetView>
  </sheetViews>
  <sheetFormatPr defaultColWidth="9.140625" defaultRowHeight="15"/>
  <cols>
    <col min="1" max="1" width="9.140625" style="228" customWidth="1"/>
    <col min="2" max="2" width="8.00390625" style="3" customWidth="1"/>
    <col min="3" max="3" width="9.421875" style="3" customWidth="1"/>
    <col min="4" max="4" width="5.28125" style="3" customWidth="1"/>
    <col min="5" max="5" width="9.00390625" style="3" customWidth="1"/>
    <col min="6" max="6" width="10.28125" style="64" customWidth="1"/>
    <col min="7" max="7" width="8.7109375" style="72" customWidth="1"/>
    <col min="8" max="8" width="12.8515625" style="72" customWidth="1"/>
    <col min="9" max="9" width="7.28125" style="3" customWidth="1"/>
    <col min="10" max="10" width="14.140625" style="3" customWidth="1"/>
    <col min="11" max="11" width="10.00390625" style="93" customWidth="1"/>
    <col min="12" max="12" width="14.140625" style="93" customWidth="1"/>
    <col min="13" max="13" width="11.57421875" style="93" customWidth="1"/>
    <col min="14" max="16" width="0" style="3" hidden="1" customWidth="1"/>
    <col min="17" max="17" width="8.28125" style="75" customWidth="1"/>
    <col min="18" max="18" width="10.8515625" style="82" customWidth="1"/>
    <col min="19" max="16384" width="9.140625" style="3" customWidth="1"/>
  </cols>
  <sheetData>
    <row r="1" spans="1:20" s="489" customFormat="1" ht="15" customHeight="1">
      <c r="A1" s="523"/>
      <c r="B1" s="588" t="s">
        <v>268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24"/>
      <c r="P1" s="524"/>
      <c r="Q1" s="527"/>
      <c r="R1" s="82"/>
      <c r="S1" s="524"/>
      <c r="T1" s="524"/>
    </row>
    <row r="2" spans="1:22" s="489" customFormat="1" ht="57" customHeight="1">
      <c r="A2" s="590" t="s">
        <v>256</v>
      </c>
      <c r="B2" s="525"/>
      <c r="C2" s="525"/>
      <c r="D2" s="590" t="s">
        <v>7</v>
      </c>
      <c r="E2" s="590"/>
      <c r="F2" s="615" t="s">
        <v>39</v>
      </c>
      <c r="G2" s="592" t="s">
        <v>20</v>
      </c>
      <c r="H2" s="592" t="s">
        <v>152</v>
      </c>
      <c r="I2" s="590" t="s">
        <v>9</v>
      </c>
      <c r="J2" s="590"/>
      <c r="K2" s="587" t="s">
        <v>13</v>
      </c>
      <c r="L2" s="587"/>
      <c r="M2" s="587"/>
      <c r="N2" s="524"/>
      <c r="O2" s="524"/>
      <c r="P2" s="524"/>
      <c r="Q2" s="587" t="s">
        <v>127</v>
      </c>
      <c r="R2" s="587"/>
      <c r="S2" s="587" t="s">
        <v>269</v>
      </c>
      <c r="T2" s="587"/>
      <c r="U2" s="587" t="s">
        <v>286</v>
      </c>
      <c r="V2" s="587"/>
    </row>
    <row r="3" spans="1:22" s="489" customFormat="1" ht="198" customHeight="1">
      <c r="A3" s="590"/>
      <c r="B3" s="525"/>
      <c r="C3" s="525"/>
      <c r="D3" s="525" t="s">
        <v>8</v>
      </c>
      <c r="E3" s="525" t="s">
        <v>11</v>
      </c>
      <c r="F3" s="615"/>
      <c r="G3" s="593"/>
      <c r="H3" s="593"/>
      <c r="I3" s="525" t="s">
        <v>8</v>
      </c>
      <c r="J3" s="525" t="s">
        <v>10</v>
      </c>
      <c r="K3" s="522" t="s">
        <v>14</v>
      </c>
      <c r="L3" s="522" t="s">
        <v>171</v>
      </c>
      <c r="M3" s="522" t="s">
        <v>15</v>
      </c>
      <c r="N3" s="524"/>
      <c r="O3" s="524"/>
      <c r="P3" s="524"/>
      <c r="Q3" s="522" t="s">
        <v>8</v>
      </c>
      <c r="R3" s="499" t="s">
        <v>125</v>
      </c>
      <c r="S3" s="522" t="s">
        <v>8</v>
      </c>
      <c r="T3" s="522" t="s">
        <v>10</v>
      </c>
      <c r="U3" s="553" t="s">
        <v>8</v>
      </c>
      <c r="V3" s="553" t="s">
        <v>10</v>
      </c>
    </row>
    <row r="4" spans="1:22" s="489" customFormat="1" ht="15">
      <c r="A4" s="590"/>
      <c r="B4" s="525">
        <v>1</v>
      </c>
      <c r="C4" s="525" t="s">
        <v>0</v>
      </c>
      <c r="D4" s="522">
        <v>11</v>
      </c>
      <c r="E4" s="295">
        <v>0.5238</v>
      </c>
      <c r="F4" s="309">
        <v>65.09</v>
      </c>
      <c r="G4" s="94">
        <v>41.36</v>
      </c>
      <c r="H4" s="295">
        <v>0.6463</v>
      </c>
      <c r="I4" s="522">
        <v>0</v>
      </c>
      <c r="J4" s="499">
        <v>0</v>
      </c>
      <c r="K4" s="522">
        <v>10</v>
      </c>
      <c r="L4" s="305">
        <v>0.7692</v>
      </c>
      <c r="M4" s="68">
        <v>64.5</v>
      </c>
      <c r="N4" s="527"/>
      <c r="O4" s="527"/>
      <c r="P4" s="527"/>
      <c r="Q4" s="522">
        <v>1</v>
      </c>
      <c r="R4" s="302">
        <v>0.0909</v>
      </c>
      <c r="S4" s="70">
        <v>0</v>
      </c>
      <c r="T4" s="295">
        <v>0</v>
      </c>
      <c r="U4" s="70">
        <v>7</v>
      </c>
      <c r="V4" s="295">
        <v>0.6364</v>
      </c>
    </row>
    <row r="5" spans="1:22" s="489" customFormat="1" ht="15">
      <c r="A5" s="590"/>
      <c r="B5" s="525">
        <v>2</v>
      </c>
      <c r="C5" s="525" t="s">
        <v>1</v>
      </c>
      <c r="D5" s="522">
        <v>6</v>
      </c>
      <c r="E5" s="48">
        <v>0.46</v>
      </c>
      <c r="F5" s="68">
        <v>61</v>
      </c>
      <c r="G5" s="68">
        <v>37</v>
      </c>
      <c r="H5" s="499">
        <v>0.57</v>
      </c>
      <c r="I5" s="105">
        <v>1</v>
      </c>
      <c r="J5" s="314">
        <v>0.16</v>
      </c>
      <c r="K5" s="522">
        <v>5</v>
      </c>
      <c r="L5" s="416">
        <v>0.83</v>
      </c>
      <c r="M5" s="68">
        <v>62</v>
      </c>
      <c r="N5" s="527"/>
      <c r="O5" s="527"/>
      <c r="P5" s="527"/>
      <c r="Q5" s="522">
        <v>1</v>
      </c>
      <c r="R5" s="301">
        <v>0.16</v>
      </c>
      <c r="S5" s="586">
        <v>1</v>
      </c>
      <c r="T5" s="295">
        <v>0.16</v>
      </c>
      <c r="U5" s="70">
        <v>2</v>
      </c>
      <c r="V5" s="295">
        <v>0.33</v>
      </c>
    </row>
    <row r="6" spans="1:22" s="489" customFormat="1" ht="15">
      <c r="A6" s="590"/>
      <c r="B6" s="525">
        <v>3</v>
      </c>
      <c r="C6" s="525" t="s">
        <v>2</v>
      </c>
      <c r="D6" s="522">
        <v>8</v>
      </c>
      <c r="E6" s="48">
        <v>0.42</v>
      </c>
      <c r="F6" s="68">
        <v>61</v>
      </c>
      <c r="G6" s="68">
        <v>38</v>
      </c>
      <c r="H6" s="499">
        <v>0.59</v>
      </c>
      <c r="I6" s="522">
        <v>0</v>
      </c>
      <c r="J6" s="499">
        <v>0</v>
      </c>
      <c r="K6" s="522">
        <v>8</v>
      </c>
      <c r="L6" s="48">
        <v>0.61</v>
      </c>
      <c r="M6" s="94">
        <v>61</v>
      </c>
      <c r="N6" s="527"/>
      <c r="O6" s="527"/>
      <c r="P6" s="527"/>
      <c r="Q6" s="522">
        <v>0</v>
      </c>
      <c r="R6" s="83">
        <v>0</v>
      </c>
      <c r="S6" s="70">
        <v>0</v>
      </c>
      <c r="T6" s="295">
        <v>0</v>
      </c>
      <c r="U6" s="70">
        <v>4</v>
      </c>
      <c r="V6" s="295">
        <v>0.5</v>
      </c>
    </row>
    <row r="7" spans="1:22" s="489" customFormat="1" ht="15">
      <c r="A7" s="590"/>
      <c r="B7" s="525">
        <v>4</v>
      </c>
      <c r="C7" s="525" t="s">
        <v>3</v>
      </c>
      <c r="D7" s="522">
        <v>9</v>
      </c>
      <c r="E7" s="48">
        <v>0.52</v>
      </c>
      <c r="F7" s="285">
        <v>60</v>
      </c>
      <c r="G7" s="522">
        <v>37</v>
      </c>
      <c r="H7" s="499">
        <v>0.57</v>
      </c>
      <c r="I7" s="522">
        <v>0</v>
      </c>
      <c r="J7" s="499">
        <v>0</v>
      </c>
      <c r="K7" s="522">
        <v>8</v>
      </c>
      <c r="L7" s="499">
        <v>0.44</v>
      </c>
      <c r="M7" s="94">
        <v>60.87</v>
      </c>
      <c r="N7" s="616"/>
      <c r="O7" s="617"/>
      <c r="P7" s="617"/>
      <c r="Q7" s="522">
        <v>0</v>
      </c>
      <c r="R7" s="83">
        <v>0</v>
      </c>
      <c r="S7" s="70">
        <v>0</v>
      </c>
      <c r="T7" s="63">
        <v>0</v>
      </c>
      <c r="U7" s="70">
        <v>5</v>
      </c>
      <c r="V7" s="295">
        <v>0.55</v>
      </c>
    </row>
    <row r="8" spans="1:22" s="489" customFormat="1" ht="45">
      <c r="A8" s="590"/>
      <c r="B8" s="525">
        <v>5</v>
      </c>
      <c r="C8" s="525" t="s">
        <v>4</v>
      </c>
      <c r="D8" s="522"/>
      <c r="E8" s="48"/>
      <c r="F8" s="68"/>
      <c r="G8" s="522"/>
      <c r="H8" s="499"/>
      <c r="I8" s="522"/>
      <c r="J8" s="499"/>
      <c r="K8" s="522"/>
      <c r="L8" s="522"/>
      <c r="M8" s="522"/>
      <c r="N8" s="527"/>
      <c r="O8" s="527"/>
      <c r="P8" s="527"/>
      <c r="Q8" s="522"/>
      <c r="R8" s="83"/>
      <c r="S8" s="70"/>
      <c r="T8" s="63"/>
      <c r="U8" s="70"/>
      <c r="V8" s="295"/>
    </row>
    <row r="9" spans="1:22" s="489" customFormat="1" ht="45">
      <c r="A9" s="590"/>
      <c r="B9" s="556">
        <v>6</v>
      </c>
      <c r="C9" s="556" t="s">
        <v>5</v>
      </c>
      <c r="D9" s="104"/>
      <c r="E9" s="568"/>
      <c r="F9" s="569"/>
      <c r="G9" s="569"/>
      <c r="H9" s="570"/>
      <c r="I9" s="104"/>
      <c r="J9" s="570"/>
      <c r="K9" s="104"/>
      <c r="L9" s="570"/>
      <c r="M9" s="104"/>
      <c r="N9" s="527"/>
      <c r="O9" s="527"/>
      <c r="P9" s="527"/>
      <c r="Q9" s="104"/>
      <c r="R9" s="571"/>
      <c r="S9" s="572"/>
      <c r="T9" s="573"/>
      <c r="U9" s="572"/>
      <c r="V9" s="574"/>
    </row>
    <row r="10" spans="1:22" s="489" customFormat="1" ht="15">
      <c r="A10" s="591"/>
      <c r="B10" s="561"/>
      <c r="C10" s="561" t="s">
        <v>6</v>
      </c>
      <c r="D10" s="296">
        <f>SUM(D4:D9)</f>
        <v>34</v>
      </c>
      <c r="E10" s="171">
        <v>0.48</v>
      </c>
      <c r="F10" s="280">
        <v>62.05</v>
      </c>
      <c r="G10" s="149">
        <v>38.82</v>
      </c>
      <c r="H10" s="83">
        <v>0.6</v>
      </c>
      <c r="I10" s="296">
        <f>I4+I5+I6+I7+I8+I9</f>
        <v>1</v>
      </c>
      <c r="J10" s="301">
        <f>I10/D10</f>
        <v>0.029411764705882353</v>
      </c>
      <c r="K10" s="296">
        <f>SUM(K4:K9)</f>
        <v>31</v>
      </c>
      <c r="L10" s="83">
        <v>0.6</v>
      </c>
      <c r="M10" s="149">
        <v>62.25</v>
      </c>
      <c r="N10" s="296"/>
      <c r="O10" s="296"/>
      <c r="P10" s="296"/>
      <c r="Q10" s="296">
        <f>SUM(Q4:Q9)</f>
        <v>2</v>
      </c>
      <c r="R10" s="83">
        <v>0.05</v>
      </c>
      <c r="S10" s="269">
        <f>S4+S5+S6+S7+S8+S9</f>
        <v>1</v>
      </c>
      <c r="T10" s="298">
        <v>0.02</v>
      </c>
      <c r="U10" s="269">
        <v>18</v>
      </c>
      <c r="V10" s="302">
        <v>0.52</v>
      </c>
    </row>
    <row r="11" spans="1:22" s="489" customFormat="1" ht="15">
      <c r="A11" s="591"/>
      <c r="B11" s="561"/>
      <c r="C11" s="561" t="s">
        <v>22</v>
      </c>
      <c r="D11" s="296"/>
      <c r="E11" s="296"/>
      <c r="F11" s="149">
        <v>61.09</v>
      </c>
      <c r="G11" s="296"/>
      <c r="H11" s="296"/>
      <c r="I11" s="296"/>
      <c r="J11" s="296">
        <v>10.05</v>
      </c>
      <c r="K11" s="296"/>
      <c r="L11" s="296"/>
      <c r="M11" s="296"/>
      <c r="N11" s="296"/>
      <c r="O11" s="296"/>
      <c r="P11" s="296"/>
      <c r="Q11" s="296"/>
      <c r="R11" s="298">
        <v>0.1225</v>
      </c>
      <c r="S11" s="269"/>
      <c r="T11" s="298"/>
      <c r="U11" s="555"/>
      <c r="V11" s="555"/>
    </row>
    <row r="12" spans="1:22" s="554" customFormat="1" ht="15">
      <c r="A12" s="558"/>
      <c r="B12" s="561"/>
      <c r="C12" s="561" t="s">
        <v>277</v>
      </c>
      <c r="D12" s="296"/>
      <c r="E12" s="296"/>
      <c r="F12" s="149">
        <v>56.37</v>
      </c>
      <c r="G12" s="296"/>
      <c r="H12" s="296"/>
      <c r="I12" s="296"/>
      <c r="J12" s="296">
        <v>18.1</v>
      </c>
      <c r="K12" s="296"/>
      <c r="L12" s="296"/>
      <c r="M12" s="296"/>
      <c r="N12" s="296"/>
      <c r="O12" s="296"/>
      <c r="P12" s="296"/>
      <c r="Q12" s="296"/>
      <c r="R12" s="298">
        <v>0.0954</v>
      </c>
      <c r="S12" s="269"/>
      <c r="T12" s="298"/>
      <c r="U12" s="555"/>
      <c r="V12" s="555"/>
    </row>
    <row r="13" spans="1:22" s="554" customFormat="1" ht="15">
      <c r="A13" s="558"/>
      <c r="B13" s="560"/>
      <c r="C13" s="560"/>
      <c r="D13" s="146"/>
      <c r="E13" s="146"/>
      <c r="F13" s="56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7"/>
      <c r="S13" s="566"/>
      <c r="T13" s="147"/>
      <c r="U13" s="558"/>
      <c r="V13" s="558"/>
    </row>
    <row r="14" spans="1:18" s="489" customFormat="1" ht="15">
      <c r="A14" s="488"/>
      <c r="B14" s="588" t="s">
        <v>254</v>
      </c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Q14" s="495"/>
      <c r="R14" s="82"/>
    </row>
    <row r="15" spans="1:20" s="489" customFormat="1" ht="15">
      <c r="A15" s="590" t="s">
        <v>194</v>
      </c>
      <c r="B15" s="490"/>
      <c r="C15" s="490"/>
      <c r="D15" s="590" t="s">
        <v>7</v>
      </c>
      <c r="E15" s="590"/>
      <c r="F15" s="615" t="s">
        <v>39</v>
      </c>
      <c r="G15" s="592" t="s">
        <v>20</v>
      </c>
      <c r="H15" s="592" t="s">
        <v>152</v>
      </c>
      <c r="I15" s="590" t="s">
        <v>9</v>
      </c>
      <c r="J15" s="590"/>
      <c r="K15" s="587" t="s">
        <v>13</v>
      </c>
      <c r="L15" s="587"/>
      <c r="M15" s="587"/>
      <c r="Q15" s="587" t="s">
        <v>127</v>
      </c>
      <c r="R15" s="587"/>
      <c r="S15" s="587" t="s">
        <v>248</v>
      </c>
      <c r="T15" s="587"/>
    </row>
    <row r="16" spans="1:20" s="489" customFormat="1" ht="180">
      <c r="A16" s="590"/>
      <c r="B16" s="490"/>
      <c r="C16" s="490"/>
      <c r="D16" s="490" t="s">
        <v>8</v>
      </c>
      <c r="E16" s="490" t="s">
        <v>11</v>
      </c>
      <c r="F16" s="615"/>
      <c r="G16" s="593"/>
      <c r="H16" s="593"/>
      <c r="I16" s="490" t="s">
        <v>8</v>
      </c>
      <c r="J16" s="490" t="s">
        <v>10</v>
      </c>
      <c r="K16" s="487" t="s">
        <v>14</v>
      </c>
      <c r="L16" s="487" t="s">
        <v>171</v>
      </c>
      <c r="M16" s="487" t="s">
        <v>15</v>
      </c>
      <c r="Q16" s="487" t="s">
        <v>8</v>
      </c>
      <c r="R16" s="65" t="s">
        <v>125</v>
      </c>
      <c r="S16" s="487" t="s">
        <v>8</v>
      </c>
      <c r="T16" s="487" t="s">
        <v>10</v>
      </c>
    </row>
    <row r="17" spans="1:20" s="402" customFormat="1" ht="15">
      <c r="A17" s="590"/>
      <c r="B17" s="490">
        <v>1</v>
      </c>
      <c r="C17" s="490" t="s">
        <v>0</v>
      </c>
      <c r="D17" s="487">
        <v>11</v>
      </c>
      <c r="E17" s="48">
        <f>D17/27</f>
        <v>0.4074074074074074</v>
      </c>
      <c r="F17" s="284">
        <v>66</v>
      </c>
      <c r="G17" s="68">
        <v>42</v>
      </c>
      <c r="H17" s="65">
        <f>G17/64</f>
        <v>0.65625</v>
      </c>
      <c r="I17" s="487">
        <v>0</v>
      </c>
      <c r="J17" s="65">
        <v>0</v>
      </c>
      <c r="K17" s="487">
        <v>11</v>
      </c>
      <c r="L17" s="48">
        <f>11/(6+1+2+1+4)</f>
        <v>0.7857142857142857</v>
      </c>
      <c r="M17" s="68">
        <v>66</v>
      </c>
      <c r="N17" s="495"/>
      <c r="O17" s="495"/>
      <c r="P17" s="495"/>
      <c r="Q17" s="487">
        <v>1</v>
      </c>
      <c r="R17" s="83">
        <f aca="true" t="shared" si="0" ref="R17:R23">Q17/D17</f>
        <v>0.09090909090909091</v>
      </c>
      <c r="S17" s="70"/>
      <c r="T17" s="295"/>
    </row>
    <row r="18" spans="1:20" s="22" customFormat="1" ht="66" customHeight="1">
      <c r="A18" s="590"/>
      <c r="B18" s="490">
        <v>2</v>
      </c>
      <c r="C18" s="490" t="s">
        <v>1</v>
      </c>
      <c r="D18" s="487">
        <v>4</v>
      </c>
      <c r="E18" s="48">
        <f>4/22</f>
        <v>0.18181818181818182</v>
      </c>
      <c r="F18" s="68">
        <v>59</v>
      </c>
      <c r="G18" s="68">
        <v>36</v>
      </c>
      <c r="H18" s="65">
        <f>36/64</f>
        <v>0.5625</v>
      </c>
      <c r="I18" s="487">
        <v>0</v>
      </c>
      <c r="J18" s="65">
        <v>0</v>
      </c>
      <c r="K18" s="487">
        <v>4</v>
      </c>
      <c r="L18" s="65">
        <f>4/(9+1)</f>
        <v>0.4</v>
      </c>
      <c r="M18" s="68">
        <v>59</v>
      </c>
      <c r="N18" s="495"/>
      <c r="O18" s="495"/>
      <c r="P18" s="495"/>
      <c r="Q18" s="487"/>
      <c r="R18" s="83">
        <f t="shared" si="0"/>
        <v>0</v>
      </c>
      <c r="S18" s="70"/>
      <c r="T18" s="295"/>
    </row>
    <row r="19" spans="1:20" ht="108" customHeight="1">
      <c r="A19" s="590"/>
      <c r="B19" s="490">
        <v>3</v>
      </c>
      <c r="C19" s="490" t="s">
        <v>2</v>
      </c>
      <c r="D19" s="487">
        <v>7</v>
      </c>
      <c r="E19" s="48">
        <f>7/29</f>
        <v>0.2413793103448276</v>
      </c>
      <c r="F19" s="68">
        <v>65</v>
      </c>
      <c r="G19" s="68">
        <v>41</v>
      </c>
      <c r="H19" s="65">
        <f>41/64</f>
        <v>0.640625</v>
      </c>
      <c r="I19" s="487">
        <v>0</v>
      </c>
      <c r="J19" s="65">
        <v>0</v>
      </c>
      <c r="K19" s="487">
        <v>7</v>
      </c>
      <c r="L19" s="48">
        <f>K19/13</f>
        <v>0.5384615384615384</v>
      </c>
      <c r="M19" s="94">
        <v>65</v>
      </c>
      <c r="N19" s="495"/>
      <c r="O19" s="495"/>
      <c r="P19" s="495"/>
      <c r="Q19" s="487"/>
      <c r="R19" s="83">
        <f t="shared" si="0"/>
        <v>0</v>
      </c>
      <c r="S19" s="70"/>
      <c r="T19" s="295"/>
    </row>
    <row r="20" spans="1:20" ht="16.5" customHeight="1">
      <c r="A20" s="590"/>
      <c r="B20" s="490">
        <v>4</v>
      </c>
      <c r="C20" s="490" t="s">
        <v>3</v>
      </c>
      <c r="D20" s="487">
        <v>11</v>
      </c>
      <c r="E20" s="48">
        <f>11/27</f>
        <v>0.4074074074074074</v>
      </c>
      <c r="F20" s="68">
        <v>60</v>
      </c>
      <c r="G20" s="487">
        <v>38</v>
      </c>
      <c r="H20" s="65">
        <f>38/64</f>
        <v>0.59375</v>
      </c>
      <c r="I20" s="487">
        <v>0</v>
      </c>
      <c r="J20" s="65">
        <v>0</v>
      </c>
      <c r="K20" s="487">
        <v>11</v>
      </c>
      <c r="L20" s="65">
        <v>1</v>
      </c>
      <c r="M20" s="94">
        <v>60</v>
      </c>
      <c r="N20" s="616"/>
      <c r="O20" s="617"/>
      <c r="P20" s="617"/>
      <c r="Q20" s="487">
        <v>1</v>
      </c>
      <c r="R20" s="83">
        <f t="shared" si="0"/>
        <v>0.09090909090909091</v>
      </c>
      <c r="S20" s="70"/>
      <c r="T20" s="63"/>
    </row>
    <row r="21" spans="1:20" ht="45">
      <c r="A21" s="590"/>
      <c r="B21" s="490">
        <v>5</v>
      </c>
      <c r="C21" s="490" t="s">
        <v>4</v>
      </c>
      <c r="D21" s="487"/>
      <c r="E21" s="48"/>
      <c r="F21" s="68"/>
      <c r="G21" s="487"/>
      <c r="H21" s="65"/>
      <c r="I21" s="487"/>
      <c r="J21" s="65"/>
      <c r="K21" s="487"/>
      <c r="L21" s="487"/>
      <c r="M21" s="487"/>
      <c r="N21" s="495"/>
      <c r="O21" s="495"/>
      <c r="P21" s="495"/>
      <c r="Q21" s="487"/>
      <c r="R21" s="83" t="e">
        <f t="shared" si="0"/>
        <v>#DIV/0!</v>
      </c>
      <c r="S21" s="70"/>
      <c r="T21" s="63"/>
    </row>
    <row r="22" spans="1:20" ht="45">
      <c r="A22" s="590"/>
      <c r="B22" s="490">
        <v>6</v>
      </c>
      <c r="C22" s="490" t="s">
        <v>5</v>
      </c>
      <c r="D22" s="487">
        <v>3</v>
      </c>
      <c r="E22" s="48">
        <v>1</v>
      </c>
      <c r="F22" s="68">
        <v>64</v>
      </c>
      <c r="G22" s="68">
        <v>40</v>
      </c>
      <c r="H22" s="65">
        <f>40/64</f>
        <v>0.625</v>
      </c>
      <c r="I22" s="487">
        <v>0</v>
      </c>
      <c r="J22" s="65"/>
      <c r="K22" s="487">
        <v>3</v>
      </c>
      <c r="L22" s="65">
        <v>1</v>
      </c>
      <c r="M22" s="487">
        <v>64</v>
      </c>
      <c r="N22" s="495"/>
      <c r="O22" s="495"/>
      <c r="P22" s="495"/>
      <c r="Q22" s="487">
        <v>1</v>
      </c>
      <c r="R22" s="83">
        <f t="shared" si="0"/>
        <v>0.3333333333333333</v>
      </c>
      <c r="S22" s="70"/>
      <c r="T22" s="63"/>
    </row>
    <row r="23" spans="1:20" ht="19.5" customHeight="1">
      <c r="A23" s="590"/>
      <c r="B23" s="496"/>
      <c r="C23" s="496" t="s">
        <v>6</v>
      </c>
      <c r="D23" s="296">
        <f>SUM(D17:D22)</f>
        <v>36</v>
      </c>
      <c r="E23" s="171">
        <f>D23/108</f>
        <v>0.3333333333333333</v>
      </c>
      <c r="F23" s="280">
        <f>(723+236+456+657+192)/D23</f>
        <v>62.888888888888886</v>
      </c>
      <c r="G23" s="149">
        <f>(459+145+289+413+119)/D23</f>
        <v>39.583333333333336</v>
      </c>
      <c r="H23" s="83">
        <f>G23/64</f>
        <v>0.6184895833333334</v>
      </c>
      <c r="I23" s="296">
        <f>I17+I18+I19+I20+I21+I22</f>
        <v>0</v>
      </c>
      <c r="J23" s="83">
        <f>I23/D23</f>
        <v>0</v>
      </c>
      <c r="K23" s="296">
        <f>SUM(K17:K22)</f>
        <v>36</v>
      </c>
      <c r="L23" s="83">
        <f>K23/51</f>
        <v>0.7058823529411765</v>
      </c>
      <c r="M23" s="149">
        <v>61.8</v>
      </c>
      <c r="N23" s="297"/>
      <c r="O23" s="297"/>
      <c r="P23" s="297"/>
      <c r="Q23" s="296">
        <f>SUM(Q17:Q22)</f>
        <v>3</v>
      </c>
      <c r="R23" s="83">
        <f t="shared" si="0"/>
        <v>0.08333333333333333</v>
      </c>
      <c r="S23" s="269">
        <f>S17+S18+S19+S20+S21+S22</f>
        <v>0</v>
      </c>
      <c r="T23" s="295">
        <f>S23/D23</f>
        <v>0</v>
      </c>
    </row>
    <row r="24" spans="1:20" ht="15">
      <c r="A24" s="590"/>
      <c r="B24" s="496"/>
      <c r="C24" s="496" t="s">
        <v>22</v>
      </c>
      <c r="D24" s="296"/>
      <c r="E24" s="296"/>
      <c r="F24" s="149">
        <v>62.45</v>
      </c>
      <c r="G24" s="296"/>
      <c r="H24" s="296"/>
      <c r="I24" s="296"/>
      <c r="J24" s="296"/>
      <c r="K24" s="296"/>
      <c r="L24" s="296"/>
      <c r="M24" s="296"/>
      <c r="N24" s="297"/>
      <c r="O24" s="297"/>
      <c r="P24" s="297"/>
      <c r="Q24" s="296"/>
      <c r="R24" s="298"/>
      <c r="S24" s="269"/>
      <c r="T24" s="298"/>
    </row>
    <row r="25" spans="1:23" ht="4.5" customHeight="1">
      <c r="A25" s="489"/>
      <c r="B25" s="489"/>
      <c r="C25" s="489"/>
      <c r="D25" s="489"/>
      <c r="E25" s="489"/>
      <c r="G25" s="489"/>
      <c r="H25" s="489"/>
      <c r="I25" s="489"/>
      <c r="J25" s="497"/>
      <c r="K25" s="498"/>
      <c r="L25" s="498"/>
      <c r="M25" s="498"/>
      <c r="N25" s="497"/>
      <c r="O25" s="497"/>
      <c r="P25" s="497"/>
      <c r="Q25" s="498"/>
      <c r="R25" s="499"/>
      <c r="S25" s="489"/>
      <c r="T25" s="489"/>
      <c r="U25" s="616"/>
      <c r="V25" s="617"/>
      <c r="W25" s="617"/>
    </row>
    <row r="26" spans="1:20" ht="15">
      <c r="A26" s="489"/>
      <c r="B26" s="489"/>
      <c r="C26" s="489"/>
      <c r="D26" s="489"/>
      <c r="E26" s="489"/>
      <c r="G26" s="489"/>
      <c r="H26" s="489"/>
      <c r="I26" s="489"/>
      <c r="J26" s="497"/>
      <c r="K26" s="498"/>
      <c r="L26" s="498"/>
      <c r="M26" s="498"/>
      <c r="N26" s="497"/>
      <c r="O26" s="497"/>
      <c r="P26" s="497"/>
      <c r="Q26" s="498"/>
      <c r="R26" s="499"/>
      <c r="S26" s="489"/>
      <c r="T26" s="489"/>
    </row>
    <row r="27" spans="1:20" ht="29.25" customHeight="1">
      <c r="A27" s="489"/>
      <c r="B27" s="489"/>
      <c r="C27" s="489"/>
      <c r="D27" s="489"/>
      <c r="E27" s="489"/>
      <c r="G27" s="489"/>
      <c r="H27" s="489"/>
      <c r="I27" s="489"/>
      <c r="J27" s="497"/>
      <c r="K27" s="498"/>
      <c r="L27" s="498"/>
      <c r="M27" s="498"/>
      <c r="N27" s="497"/>
      <c r="O27" s="497"/>
      <c r="P27" s="497"/>
      <c r="Q27" s="498"/>
      <c r="R27" s="499"/>
      <c r="S27" s="489"/>
      <c r="T27" s="489"/>
    </row>
    <row r="28" spans="1:20" s="4" customFormat="1" ht="15">
      <c r="A28" s="401"/>
      <c r="B28" s="588" t="s">
        <v>209</v>
      </c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402"/>
      <c r="P28" s="402"/>
      <c r="Q28" s="404"/>
      <c r="R28" s="82"/>
      <c r="S28" s="402"/>
      <c r="T28" s="402"/>
    </row>
    <row r="29" spans="1:20" ht="15">
      <c r="A29" s="590" t="s">
        <v>194</v>
      </c>
      <c r="B29" s="403"/>
      <c r="C29" s="403"/>
      <c r="D29" s="590" t="s">
        <v>7</v>
      </c>
      <c r="E29" s="590"/>
      <c r="F29" s="615" t="s">
        <v>39</v>
      </c>
      <c r="G29" s="592" t="s">
        <v>20</v>
      </c>
      <c r="H29" s="592" t="s">
        <v>152</v>
      </c>
      <c r="I29" s="590" t="s">
        <v>9</v>
      </c>
      <c r="J29" s="590"/>
      <c r="K29" s="587" t="s">
        <v>13</v>
      </c>
      <c r="L29" s="587"/>
      <c r="M29" s="587"/>
      <c r="N29" s="402"/>
      <c r="O29" s="402"/>
      <c r="P29" s="402"/>
      <c r="Q29" s="587" t="s">
        <v>127</v>
      </c>
      <c r="R29" s="587"/>
      <c r="S29" s="587" t="s">
        <v>213</v>
      </c>
      <c r="T29" s="587"/>
    </row>
    <row r="30" spans="1:20" ht="180">
      <c r="A30" s="590"/>
      <c r="B30" s="403"/>
      <c r="C30" s="403"/>
      <c r="D30" s="403" t="s">
        <v>8</v>
      </c>
      <c r="E30" s="403" t="s">
        <v>11</v>
      </c>
      <c r="F30" s="615"/>
      <c r="G30" s="593"/>
      <c r="H30" s="593"/>
      <c r="I30" s="403" t="s">
        <v>8</v>
      </c>
      <c r="J30" s="403" t="s">
        <v>10</v>
      </c>
      <c r="K30" s="400" t="s">
        <v>14</v>
      </c>
      <c r="L30" s="400" t="s">
        <v>12</v>
      </c>
      <c r="M30" s="400" t="s">
        <v>15</v>
      </c>
      <c r="N30" s="402"/>
      <c r="O30" s="402"/>
      <c r="P30" s="402"/>
      <c r="Q30" s="400" t="s">
        <v>8</v>
      </c>
      <c r="R30" s="65" t="s">
        <v>125</v>
      </c>
      <c r="S30" s="400" t="s">
        <v>8</v>
      </c>
      <c r="T30" s="400" t="s">
        <v>10</v>
      </c>
    </row>
    <row r="31" spans="1:20" ht="15">
      <c r="A31" s="590"/>
      <c r="B31" s="403">
        <v>1</v>
      </c>
      <c r="C31" s="403" t="s">
        <v>0</v>
      </c>
      <c r="D31" s="400">
        <v>6</v>
      </c>
      <c r="E31" s="48">
        <f>D31/22</f>
        <v>0.2727272727272727</v>
      </c>
      <c r="F31" s="68">
        <f>402/D31</f>
        <v>67</v>
      </c>
      <c r="G31" s="68">
        <f>255/D31</f>
        <v>42.5</v>
      </c>
      <c r="H31" s="65">
        <f aca="true" t="shared" si="1" ref="H31:H36">G31/64</f>
        <v>0.6640625</v>
      </c>
      <c r="I31" s="400">
        <v>0</v>
      </c>
      <c r="J31" s="65">
        <f>I31/D31</f>
        <v>0</v>
      </c>
      <c r="K31" s="400">
        <v>6</v>
      </c>
      <c r="L31" s="316">
        <f>K31/6</f>
        <v>1</v>
      </c>
      <c r="M31" s="68">
        <f>402/6</f>
        <v>67</v>
      </c>
      <c r="N31" s="404"/>
      <c r="O31" s="404"/>
      <c r="P31" s="404"/>
      <c r="Q31" s="400">
        <v>1</v>
      </c>
      <c r="R31" s="83">
        <f aca="true" t="shared" si="2" ref="R31:R37">Q31/D31</f>
        <v>0.16666666666666666</v>
      </c>
      <c r="S31" s="70">
        <v>4</v>
      </c>
      <c r="T31" s="305">
        <f aca="true" t="shared" si="3" ref="T31:T37">S31/D31</f>
        <v>0.6666666666666666</v>
      </c>
    </row>
    <row r="32" spans="1:20" ht="15">
      <c r="A32" s="590"/>
      <c r="B32" s="403">
        <v>2</v>
      </c>
      <c r="C32" s="403" t="s">
        <v>1</v>
      </c>
      <c r="D32" s="400">
        <v>4</v>
      </c>
      <c r="E32" s="48">
        <f>D32/21</f>
        <v>0.19047619047619047</v>
      </c>
      <c r="F32" s="68">
        <f>238/D32</f>
        <v>59.5</v>
      </c>
      <c r="G32" s="68">
        <f>148/D32</f>
        <v>37</v>
      </c>
      <c r="H32" s="65">
        <f t="shared" si="1"/>
        <v>0.578125</v>
      </c>
      <c r="I32" s="400">
        <v>0</v>
      </c>
      <c r="J32" s="65">
        <f>I32/D32</f>
        <v>0</v>
      </c>
      <c r="K32" s="400">
        <v>4</v>
      </c>
      <c r="L32" s="65">
        <f>K32/8</f>
        <v>0.5</v>
      </c>
      <c r="M32" s="68">
        <f>238/4</f>
        <v>59.5</v>
      </c>
      <c r="N32" s="404"/>
      <c r="O32" s="404"/>
      <c r="P32" s="404"/>
      <c r="Q32" s="400">
        <v>0</v>
      </c>
      <c r="R32" s="84">
        <f t="shared" si="2"/>
        <v>0</v>
      </c>
      <c r="S32" s="70">
        <v>0</v>
      </c>
      <c r="T32" s="295">
        <f t="shared" si="3"/>
        <v>0</v>
      </c>
    </row>
    <row r="33" spans="1:20" ht="15">
      <c r="A33" s="590"/>
      <c r="B33" s="403">
        <v>3</v>
      </c>
      <c r="C33" s="403" t="s">
        <v>2</v>
      </c>
      <c r="D33" s="400">
        <v>14</v>
      </c>
      <c r="E33" s="48">
        <f>D33/27</f>
        <v>0.5185185185185185</v>
      </c>
      <c r="F33" s="68">
        <f>931/D33</f>
        <v>66.5</v>
      </c>
      <c r="G33" s="68">
        <f>591/D33</f>
        <v>42.214285714285715</v>
      </c>
      <c r="H33" s="65">
        <f t="shared" si="1"/>
        <v>0.6595982142857143</v>
      </c>
      <c r="I33" s="400">
        <v>0</v>
      </c>
      <c r="J33" s="65">
        <v>0</v>
      </c>
      <c r="K33" s="400">
        <v>14</v>
      </c>
      <c r="L33" s="48">
        <f>K33/21</f>
        <v>0.6666666666666666</v>
      </c>
      <c r="M33" s="94">
        <f>931/10</f>
        <v>93.1</v>
      </c>
      <c r="N33" s="404"/>
      <c r="O33" s="404"/>
      <c r="P33" s="404"/>
      <c r="Q33" s="400">
        <v>2</v>
      </c>
      <c r="R33" s="84">
        <f t="shared" si="2"/>
        <v>0.14285714285714285</v>
      </c>
      <c r="S33" s="70">
        <v>0</v>
      </c>
      <c r="T33" s="295">
        <f t="shared" si="3"/>
        <v>0</v>
      </c>
    </row>
    <row r="34" spans="1:20" ht="15">
      <c r="A34" s="590"/>
      <c r="B34" s="403">
        <v>4</v>
      </c>
      <c r="C34" s="403" t="s">
        <v>3</v>
      </c>
      <c r="D34" s="400">
        <v>10</v>
      </c>
      <c r="E34" s="48">
        <f>D34/26</f>
        <v>0.38461538461538464</v>
      </c>
      <c r="F34" s="68">
        <f>632/D34</f>
        <v>63.2</v>
      </c>
      <c r="G34" s="400">
        <f>394/D34</f>
        <v>39.4</v>
      </c>
      <c r="H34" s="65">
        <f t="shared" si="1"/>
        <v>0.615625</v>
      </c>
      <c r="I34" s="400">
        <v>0</v>
      </c>
      <c r="J34" s="65">
        <f>I34/D34</f>
        <v>0</v>
      </c>
      <c r="K34" s="400">
        <v>10</v>
      </c>
      <c r="L34" s="65">
        <f>K34/11</f>
        <v>0.9090909090909091</v>
      </c>
      <c r="M34" s="94">
        <f>632/K34</f>
        <v>63.2</v>
      </c>
      <c r="N34" s="616"/>
      <c r="O34" s="617"/>
      <c r="P34" s="617"/>
      <c r="Q34" s="400">
        <v>1</v>
      </c>
      <c r="R34" s="84">
        <f t="shared" si="2"/>
        <v>0.1</v>
      </c>
      <c r="S34" s="70"/>
      <c r="T34" s="63">
        <f t="shared" si="3"/>
        <v>0</v>
      </c>
    </row>
    <row r="35" spans="1:20" ht="45">
      <c r="A35" s="590"/>
      <c r="B35" s="403">
        <v>5</v>
      </c>
      <c r="C35" s="403" t="s">
        <v>4</v>
      </c>
      <c r="D35" s="400">
        <v>1</v>
      </c>
      <c r="E35" s="48">
        <f>D35/4</f>
        <v>0.25</v>
      </c>
      <c r="F35" s="68">
        <f>59/D35</f>
        <v>59</v>
      </c>
      <c r="G35" s="400">
        <f>36/D35</f>
        <v>36</v>
      </c>
      <c r="H35" s="65">
        <f t="shared" si="1"/>
        <v>0.5625</v>
      </c>
      <c r="I35" s="400">
        <v>0</v>
      </c>
      <c r="J35" s="65">
        <v>0</v>
      </c>
      <c r="K35" s="400">
        <v>0</v>
      </c>
      <c r="L35" s="400">
        <v>0</v>
      </c>
      <c r="M35" s="400">
        <v>0</v>
      </c>
      <c r="N35" s="404"/>
      <c r="O35" s="404"/>
      <c r="P35" s="404"/>
      <c r="Q35" s="400">
        <v>0</v>
      </c>
      <c r="R35" s="65">
        <f t="shared" si="2"/>
        <v>0</v>
      </c>
      <c r="S35" s="70">
        <v>0</v>
      </c>
      <c r="T35" s="63">
        <f t="shared" si="3"/>
        <v>0</v>
      </c>
    </row>
    <row r="36" spans="1:20" ht="45">
      <c r="A36" s="590"/>
      <c r="B36" s="403">
        <v>6</v>
      </c>
      <c r="C36" s="403" t="s">
        <v>5</v>
      </c>
      <c r="D36" s="400"/>
      <c r="E36" s="48">
        <f>D36/2</f>
        <v>0</v>
      </c>
      <c r="F36" s="68" t="e">
        <f>120/D36</f>
        <v>#DIV/0!</v>
      </c>
      <c r="G36" s="68" t="e">
        <f>74/D36</f>
        <v>#DIV/0!</v>
      </c>
      <c r="H36" s="65" t="e">
        <f t="shared" si="1"/>
        <v>#DIV/0!</v>
      </c>
      <c r="I36" s="400">
        <v>0</v>
      </c>
      <c r="J36" s="65">
        <v>0</v>
      </c>
      <c r="K36" s="400">
        <v>0</v>
      </c>
      <c r="L36" s="65">
        <f>K36/2</f>
        <v>0</v>
      </c>
      <c r="M36" s="400" t="e">
        <f>74/K36</f>
        <v>#DIV/0!</v>
      </c>
      <c r="N36" s="404"/>
      <c r="O36" s="404"/>
      <c r="P36" s="404"/>
      <c r="Q36" s="400">
        <v>0</v>
      </c>
      <c r="R36" s="65" t="e">
        <f t="shared" si="2"/>
        <v>#DIV/0!</v>
      </c>
      <c r="S36" s="70"/>
      <c r="T36" s="63" t="e">
        <f t="shared" si="3"/>
        <v>#DIV/0!</v>
      </c>
    </row>
    <row r="37" spans="1:20" ht="15">
      <c r="A37" s="590"/>
      <c r="B37" s="290"/>
      <c r="C37" s="290" t="s">
        <v>6</v>
      </c>
      <c r="D37" s="296">
        <f>SUM(D31:D36)</f>
        <v>35</v>
      </c>
      <c r="E37" s="171">
        <f>D37/100</f>
        <v>0.35</v>
      </c>
      <c r="F37" s="280">
        <f>2262/D37</f>
        <v>64.62857142857143</v>
      </c>
      <c r="G37" s="149">
        <f>1424/D37</f>
        <v>40.68571428571428</v>
      </c>
      <c r="H37" s="83">
        <f>1424/(D37*64)</f>
        <v>0.6357142857142857</v>
      </c>
      <c r="I37" s="296">
        <f>I31+I32+I33+I34+I35+I36</f>
        <v>0</v>
      </c>
      <c r="J37" s="83">
        <f>I37/D37</f>
        <v>0</v>
      </c>
      <c r="K37" s="296">
        <f>SUM(K31:K36)</f>
        <v>34</v>
      </c>
      <c r="L37" s="83">
        <f>K37/46</f>
        <v>0.7391304347826086</v>
      </c>
      <c r="M37" s="149">
        <f>2203/K37</f>
        <v>64.79411764705883</v>
      </c>
      <c r="N37" s="297"/>
      <c r="O37" s="297"/>
      <c r="P37" s="297"/>
      <c r="Q37" s="296">
        <f>SUM(Q31:Q36)</f>
        <v>4</v>
      </c>
      <c r="R37" s="83">
        <f t="shared" si="2"/>
        <v>0.11428571428571428</v>
      </c>
      <c r="S37" s="269">
        <f>S31+S32+S33+S34+S35+S36</f>
        <v>4</v>
      </c>
      <c r="T37" s="295">
        <f t="shared" si="3"/>
        <v>0.11428571428571428</v>
      </c>
    </row>
    <row r="38" spans="1:20" ht="15">
      <c r="A38" s="590"/>
      <c r="B38" s="290"/>
      <c r="C38" s="290" t="s">
        <v>22</v>
      </c>
      <c r="D38" s="296"/>
      <c r="E38" s="296"/>
      <c r="F38" s="149">
        <v>60</v>
      </c>
      <c r="G38" s="296"/>
      <c r="H38" s="296"/>
      <c r="I38" s="296"/>
      <c r="J38" s="296"/>
      <c r="K38" s="296"/>
      <c r="L38" s="296"/>
      <c r="M38" s="296"/>
      <c r="N38" s="297"/>
      <c r="O38" s="297"/>
      <c r="P38" s="297"/>
      <c r="Q38" s="296"/>
      <c r="R38" s="298"/>
      <c r="S38" s="269"/>
      <c r="T38" s="298"/>
    </row>
    <row r="39" spans="1:20" ht="15">
      <c r="A39" s="402"/>
      <c r="B39" s="402"/>
      <c r="C39" s="402"/>
      <c r="D39" s="402"/>
      <c r="E39" s="402"/>
      <c r="G39" s="402"/>
      <c r="H39" s="402"/>
      <c r="I39" s="402"/>
      <c r="J39" s="402"/>
      <c r="K39" s="404"/>
      <c r="L39" s="404"/>
      <c r="M39" s="404"/>
      <c r="N39" s="402"/>
      <c r="O39" s="402"/>
      <c r="P39" s="402"/>
      <c r="Q39" s="404"/>
      <c r="S39" s="402"/>
      <c r="T39" s="402"/>
    </row>
    <row r="40" spans="1:14" ht="15">
      <c r="A40" s="227"/>
      <c r="B40" s="588" t="s">
        <v>151</v>
      </c>
      <c r="C40" s="589"/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</row>
    <row r="41" spans="1:20" ht="15">
      <c r="A41" s="590" t="s">
        <v>140</v>
      </c>
      <c r="B41" s="229"/>
      <c r="C41" s="229"/>
      <c r="D41" s="590" t="s">
        <v>7</v>
      </c>
      <c r="E41" s="590"/>
      <c r="F41" s="615" t="s">
        <v>39</v>
      </c>
      <c r="G41" s="592" t="s">
        <v>20</v>
      </c>
      <c r="H41" s="592" t="s">
        <v>152</v>
      </c>
      <c r="I41" s="590" t="s">
        <v>9</v>
      </c>
      <c r="J41" s="590"/>
      <c r="K41" s="587" t="s">
        <v>13</v>
      </c>
      <c r="L41" s="587"/>
      <c r="M41" s="587"/>
      <c r="N41" s="228"/>
      <c r="O41" s="228"/>
      <c r="P41" s="228"/>
      <c r="Q41" s="587" t="s">
        <v>127</v>
      </c>
      <c r="R41" s="587"/>
      <c r="S41" s="587" t="s">
        <v>169</v>
      </c>
      <c r="T41" s="587"/>
    </row>
    <row r="42" spans="1:20" ht="180">
      <c r="A42" s="590"/>
      <c r="B42" s="229"/>
      <c r="C42" s="229"/>
      <c r="D42" s="229" t="s">
        <v>8</v>
      </c>
      <c r="E42" s="229" t="s">
        <v>11</v>
      </c>
      <c r="F42" s="615"/>
      <c r="G42" s="593"/>
      <c r="H42" s="593"/>
      <c r="I42" s="229" t="s">
        <v>8</v>
      </c>
      <c r="J42" s="229" t="s">
        <v>10</v>
      </c>
      <c r="K42" s="226" t="s">
        <v>14</v>
      </c>
      <c r="L42" s="226" t="s">
        <v>12</v>
      </c>
      <c r="M42" s="226" t="s">
        <v>15</v>
      </c>
      <c r="N42" s="228"/>
      <c r="O42" s="228"/>
      <c r="P42" s="228"/>
      <c r="Q42" s="226" t="s">
        <v>8</v>
      </c>
      <c r="R42" s="65" t="s">
        <v>125</v>
      </c>
      <c r="S42" s="293" t="s">
        <v>8</v>
      </c>
      <c r="T42" s="293" t="s">
        <v>10</v>
      </c>
    </row>
    <row r="43" spans="1:20" ht="15">
      <c r="A43" s="590"/>
      <c r="B43" s="229">
        <v>1</v>
      </c>
      <c r="C43" s="229" t="s">
        <v>0</v>
      </c>
      <c r="D43" s="229">
        <v>21</v>
      </c>
      <c r="E43" s="7">
        <f>D43/51</f>
        <v>0.4117647058823529</v>
      </c>
      <c r="F43" s="284">
        <f>1464/D43</f>
        <v>69.71428571428571</v>
      </c>
      <c r="G43" s="231">
        <f>921/D43</f>
        <v>43.857142857142854</v>
      </c>
      <c r="H43" s="230">
        <f aca="true" t="shared" si="4" ref="H43:H48">G43/64</f>
        <v>0.6852678571428571</v>
      </c>
      <c r="I43" s="229">
        <v>0</v>
      </c>
      <c r="J43" s="230">
        <f>I43/D43</f>
        <v>0</v>
      </c>
      <c r="K43" s="226">
        <v>12</v>
      </c>
      <c r="L43" s="48">
        <f>K43/12</f>
        <v>1</v>
      </c>
      <c r="M43" s="68">
        <f>813/12</f>
        <v>67.75</v>
      </c>
      <c r="N43" s="228"/>
      <c r="O43" s="228"/>
      <c r="P43" s="228"/>
      <c r="Q43" s="226">
        <v>7</v>
      </c>
      <c r="R43" s="83">
        <f aca="true" t="shared" si="5" ref="R43:R49">Q43/D43</f>
        <v>0.3333333333333333</v>
      </c>
      <c r="S43" s="70">
        <v>16</v>
      </c>
      <c r="T43" s="295">
        <f aca="true" t="shared" si="6" ref="T43:T49">S43/D43</f>
        <v>0.7619047619047619</v>
      </c>
    </row>
    <row r="44" spans="1:20" ht="15">
      <c r="A44" s="590"/>
      <c r="B44" s="229">
        <v>2</v>
      </c>
      <c r="C44" s="229" t="s">
        <v>1</v>
      </c>
      <c r="D44" s="229">
        <v>6</v>
      </c>
      <c r="E44" s="7">
        <f>D44/19</f>
        <v>0.3157894736842105</v>
      </c>
      <c r="F44" s="285">
        <f>410/D44</f>
        <v>68.33333333333333</v>
      </c>
      <c r="G44" s="231">
        <f>256/D44</f>
        <v>42.666666666666664</v>
      </c>
      <c r="H44" s="230">
        <f t="shared" si="4"/>
        <v>0.6666666666666666</v>
      </c>
      <c r="I44" s="229">
        <v>0</v>
      </c>
      <c r="J44" s="230">
        <f>I44/D44</f>
        <v>0</v>
      </c>
      <c r="K44" s="226">
        <v>4</v>
      </c>
      <c r="L44" s="65">
        <f>K44/8</f>
        <v>0.5</v>
      </c>
      <c r="M44" s="68">
        <f>(66+51+97+79)/4</f>
        <v>73.25</v>
      </c>
      <c r="N44" s="228"/>
      <c r="O44" s="228"/>
      <c r="P44" s="228"/>
      <c r="Q44" s="226">
        <v>1</v>
      </c>
      <c r="R44" s="84">
        <f t="shared" si="5"/>
        <v>0.16666666666666666</v>
      </c>
      <c r="S44" s="70">
        <v>3</v>
      </c>
      <c r="T44" s="295">
        <f t="shared" si="6"/>
        <v>0.5</v>
      </c>
    </row>
    <row r="45" spans="1:20" ht="15">
      <c r="A45" s="590"/>
      <c r="B45" s="229">
        <v>3</v>
      </c>
      <c r="C45" s="229" t="s">
        <v>2</v>
      </c>
      <c r="D45" s="229">
        <v>10</v>
      </c>
      <c r="E45" s="7">
        <f>D45/26</f>
        <v>0.38461538461538464</v>
      </c>
      <c r="F45" s="285">
        <f>649/D45</f>
        <v>64.9</v>
      </c>
      <c r="G45" s="231">
        <f>406/D45</f>
        <v>40.6</v>
      </c>
      <c r="H45" s="230">
        <f t="shared" si="4"/>
        <v>0.634375</v>
      </c>
      <c r="I45" s="229">
        <v>0</v>
      </c>
      <c r="J45" s="230">
        <v>0</v>
      </c>
      <c r="K45" s="226">
        <v>10</v>
      </c>
      <c r="L45" s="48">
        <f>K45/21</f>
        <v>0.47619047619047616</v>
      </c>
      <c r="M45" s="94">
        <f>649/10</f>
        <v>64.9</v>
      </c>
      <c r="N45" s="228"/>
      <c r="O45" s="228"/>
      <c r="P45" s="228"/>
      <c r="Q45" s="226">
        <v>1</v>
      </c>
      <c r="R45" s="84">
        <f t="shared" si="5"/>
        <v>0.1</v>
      </c>
      <c r="S45" s="70">
        <v>6</v>
      </c>
      <c r="T45" s="295">
        <f t="shared" si="6"/>
        <v>0.6</v>
      </c>
    </row>
    <row r="46" spans="1:20" ht="15">
      <c r="A46" s="590"/>
      <c r="B46" s="229">
        <v>4</v>
      </c>
      <c r="C46" s="229" t="s">
        <v>3</v>
      </c>
      <c r="D46" s="229">
        <v>8</v>
      </c>
      <c r="E46" s="7">
        <f>D46/25</f>
        <v>0.32</v>
      </c>
      <c r="F46" s="284">
        <f>506/D46</f>
        <v>63.25</v>
      </c>
      <c r="G46" s="229">
        <f>318/D46</f>
        <v>39.75</v>
      </c>
      <c r="H46" s="230">
        <f t="shared" si="4"/>
        <v>0.62109375</v>
      </c>
      <c r="I46" s="229">
        <v>0</v>
      </c>
      <c r="J46" s="230">
        <f>I46/D46</f>
        <v>0</v>
      </c>
      <c r="K46" s="226">
        <v>8</v>
      </c>
      <c r="L46" s="65">
        <f>K46/14</f>
        <v>0.5714285714285714</v>
      </c>
      <c r="M46" s="94">
        <f>506/8</f>
        <v>63.25</v>
      </c>
      <c r="N46" s="601"/>
      <c r="O46" s="589"/>
      <c r="P46" s="589"/>
      <c r="Q46" s="226">
        <v>0</v>
      </c>
      <c r="R46" s="84">
        <f t="shared" si="5"/>
        <v>0</v>
      </c>
      <c r="S46" s="70">
        <v>5</v>
      </c>
      <c r="T46" s="63">
        <f t="shared" si="6"/>
        <v>0.625</v>
      </c>
    </row>
    <row r="47" spans="1:20" ht="45">
      <c r="A47" s="590"/>
      <c r="B47" s="229">
        <v>5</v>
      </c>
      <c r="C47" s="229" t="s">
        <v>4</v>
      </c>
      <c r="D47" s="229">
        <v>0</v>
      </c>
      <c r="E47" s="7">
        <f>D47/2</f>
        <v>0</v>
      </c>
      <c r="F47" s="231">
        <v>0</v>
      </c>
      <c r="G47" s="229">
        <v>0</v>
      </c>
      <c r="H47" s="230">
        <f t="shared" si="4"/>
        <v>0</v>
      </c>
      <c r="I47" s="229">
        <v>0</v>
      </c>
      <c r="J47" s="230">
        <v>0</v>
      </c>
      <c r="K47" s="226">
        <v>0</v>
      </c>
      <c r="L47" s="226">
        <v>0</v>
      </c>
      <c r="M47" s="226">
        <v>0</v>
      </c>
      <c r="N47" s="228"/>
      <c r="O47" s="228"/>
      <c r="P47" s="228"/>
      <c r="Q47" s="226">
        <v>0</v>
      </c>
      <c r="R47" s="65" t="e">
        <f t="shared" si="5"/>
        <v>#DIV/0!</v>
      </c>
      <c r="S47" s="70">
        <v>0</v>
      </c>
      <c r="T47" s="63" t="e">
        <f t="shared" si="6"/>
        <v>#DIV/0!</v>
      </c>
    </row>
    <row r="48" spans="1:20" ht="45">
      <c r="A48" s="590"/>
      <c r="B48" s="229">
        <v>6</v>
      </c>
      <c r="C48" s="229" t="s">
        <v>5</v>
      </c>
      <c r="D48" s="229">
        <v>2</v>
      </c>
      <c r="E48" s="7">
        <f>D48/2</f>
        <v>1</v>
      </c>
      <c r="F48" s="284">
        <f>120/D48</f>
        <v>60</v>
      </c>
      <c r="G48" s="231">
        <f>74/D48</f>
        <v>37</v>
      </c>
      <c r="H48" s="230">
        <f t="shared" si="4"/>
        <v>0.578125</v>
      </c>
      <c r="I48" s="229">
        <v>0</v>
      </c>
      <c r="J48" s="230">
        <v>0</v>
      </c>
      <c r="K48" s="226">
        <v>0</v>
      </c>
      <c r="L48" s="65">
        <f>K48/2</f>
        <v>0</v>
      </c>
      <c r="M48" s="226" t="e">
        <f>74/K48</f>
        <v>#DIV/0!</v>
      </c>
      <c r="N48" s="228"/>
      <c r="O48" s="228"/>
      <c r="P48" s="228"/>
      <c r="Q48" s="226">
        <v>0</v>
      </c>
      <c r="R48" s="65">
        <f t="shared" si="5"/>
        <v>0</v>
      </c>
      <c r="S48" s="70">
        <v>1</v>
      </c>
      <c r="T48" s="63">
        <f t="shared" si="6"/>
        <v>0.5</v>
      </c>
    </row>
    <row r="49" spans="1:20" ht="15">
      <c r="A49" s="590"/>
      <c r="B49" s="6"/>
      <c r="C49" s="6" t="s">
        <v>6</v>
      </c>
      <c r="D49" s="6">
        <f>SUM(D43:D48)</f>
        <v>47</v>
      </c>
      <c r="E49" s="10">
        <f>D49/123</f>
        <v>0.3821138211382114</v>
      </c>
      <c r="F49" s="279">
        <f>3149/D49</f>
        <v>67</v>
      </c>
      <c r="G49" s="67">
        <f>1975/D49</f>
        <v>42.02127659574468</v>
      </c>
      <c r="H49" s="13">
        <f>1904/(D49*64)</f>
        <v>0.6329787234042553</v>
      </c>
      <c r="I49" s="281">
        <f>I43+I44+I45+I46+I47+I48</f>
        <v>0</v>
      </c>
      <c r="J49" s="301">
        <f>I49/D49</f>
        <v>0</v>
      </c>
      <c r="K49" s="310">
        <f>SUM(K43:K48)</f>
        <v>34</v>
      </c>
      <c r="L49" s="311">
        <f>K49/57</f>
        <v>0.5964912280701754</v>
      </c>
      <c r="M49" s="280">
        <f>2335/K49</f>
        <v>68.67647058823529</v>
      </c>
      <c r="N49" s="227"/>
      <c r="O49" s="227"/>
      <c r="P49" s="227"/>
      <c r="Q49" s="310">
        <f>SUM(Q43:Q48)</f>
        <v>9</v>
      </c>
      <c r="R49" s="311">
        <f t="shared" si="5"/>
        <v>0.19148936170212766</v>
      </c>
      <c r="S49" s="303">
        <f>S43+S44+S45+S46+S47+S48</f>
        <v>31</v>
      </c>
      <c r="T49" s="312">
        <f t="shared" si="6"/>
        <v>0.6595744680851063</v>
      </c>
    </row>
    <row r="50" spans="1:20" ht="15">
      <c r="A50" s="590"/>
      <c r="B50" s="6"/>
      <c r="C50" s="6" t="s">
        <v>22</v>
      </c>
      <c r="D50" s="6"/>
      <c r="E50" s="6"/>
      <c r="F50" s="67">
        <v>61.67</v>
      </c>
      <c r="G50" s="6"/>
      <c r="H50" s="6"/>
      <c r="I50" s="6"/>
      <c r="J50" s="6"/>
      <c r="K50" s="50"/>
      <c r="L50" s="50"/>
      <c r="M50" s="50"/>
      <c r="N50" s="227"/>
      <c r="O50" s="227"/>
      <c r="P50" s="227"/>
      <c r="Q50" s="50"/>
      <c r="R50" s="66"/>
      <c r="S50" s="269"/>
      <c r="T50" s="298"/>
    </row>
    <row r="51" spans="1:20" ht="15">
      <c r="A51" s="598" t="s">
        <v>138</v>
      </c>
      <c r="B51" s="5"/>
      <c r="C51" s="5"/>
      <c r="D51" s="590" t="s">
        <v>7</v>
      </c>
      <c r="E51" s="590"/>
      <c r="F51" s="615" t="s">
        <v>39</v>
      </c>
      <c r="G51" s="592" t="s">
        <v>20</v>
      </c>
      <c r="H51" s="592" t="s">
        <v>49</v>
      </c>
      <c r="I51" s="590" t="s">
        <v>9</v>
      </c>
      <c r="J51" s="590"/>
      <c r="K51" s="587" t="s">
        <v>13</v>
      </c>
      <c r="L51" s="587"/>
      <c r="M51" s="587"/>
      <c r="Q51" s="587" t="s">
        <v>127</v>
      </c>
      <c r="R51" s="587"/>
      <c r="S51" s="587" t="s">
        <v>137</v>
      </c>
      <c r="T51" s="587"/>
    </row>
    <row r="52" spans="1:20" ht="180">
      <c r="A52" s="590"/>
      <c r="B52" s="5"/>
      <c r="C52" s="5"/>
      <c r="D52" s="5" t="s">
        <v>8</v>
      </c>
      <c r="E52" s="5" t="s">
        <v>11</v>
      </c>
      <c r="F52" s="615"/>
      <c r="G52" s="593"/>
      <c r="H52" s="593"/>
      <c r="I52" s="5" t="s">
        <v>8</v>
      </c>
      <c r="J52" s="5" t="s">
        <v>10</v>
      </c>
      <c r="K52" s="92" t="s">
        <v>14</v>
      </c>
      <c r="L52" s="92" t="s">
        <v>12</v>
      </c>
      <c r="M52" s="92" t="s">
        <v>15</v>
      </c>
      <c r="Q52" s="74" t="s">
        <v>8</v>
      </c>
      <c r="R52" s="65" t="s">
        <v>125</v>
      </c>
      <c r="S52" s="293" t="s">
        <v>8</v>
      </c>
      <c r="T52" s="293" t="s">
        <v>10</v>
      </c>
    </row>
    <row r="53" spans="1:20" ht="15">
      <c r="A53" s="590"/>
      <c r="B53" s="5">
        <v>1</v>
      </c>
      <c r="C53" s="5" t="s">
        <v>0</v>
      </c>
      <c r="D53" s="5">
        <v>11</v>
      </c>
      <c r="E53" s="7">
        <f>D53/25</f>
        <v>0.44</v>
      </c>
      <c r="F53" s="90">
        <f>736/D53</f>
        <v>66.9090909090909</v>
      </c>
      <c r="G53" s="138">
        <f>458/D53</f>
        <v>41.63636363636363</v>
      </c>
      <c r="H53" s="137">
        <f aca="true" t="shared" si="7" ref="H53:H58">G53/62</f>
        <v>0.6715542521994134</v>
      </c>
      <c r="I53" s="5">
        <v>0</v>
      </c>
      <c r="J53" s="12">
        <f>I53/D53</f>
        <v>0</v>
      </c>
      <c r="K53" s="92">
        <v>11</v>
      </c>
      <c r="L53" s="48">
        <f>K53/13</f>
        <v>0.8461538461538461</v>
      </c>
      <c r="M53" s="94">
        <v>66.9</v>
      </c>
      <c r="Q53" s="74">
        <v>2</v>
      </c>
      <c r="R53" s="83">
        <f aca="true" t="shared" si="8" ref="R53:R59">Q53/D53</f>
        <v>0.18181818181818182</v>
      </c>
      <c r="S53" s="70">
        <v>7</v>
      </c>
      <c r="T53" s="295">
        <f aca="true" t="shared" si="9" ref="T53:T59">S53/D53</f>
        <v>0.6363636363636364</v>
      </c>
    </row>
    <row r="54" spans="1:20" ht="15">
      <c r="A54" s="590"/>
      <c r="B54" s="5">
        <v>2</v>
      </c>
      <c r="C54" s="5" t="s">
        <v>1</v>
      </c>
      <c r="D54" s="5">
        <v>5</v>
      </c>
      <c r="E54" s="7">
        <f>D54/20</f>
        <v>0.25</v>
      </c>
      <c r="F54" s="90">
        <f>409/D54</f>
        <v>81.8</v>
      </c>
      <c r="G54" s="73">
        <f>264/D54</f>
        <v>52.8</v>
      </c>
      <c r="H54" s="137">
        <f t="shared" si="7"/>
        <v>0.8516129032258064</v>
      </c>
      <c r="I54" s="5">
        <v>0</v>
      </c>
      <c r="J54" s="12">
        <f>I54/D54</f>
        <v>0</v>
      </c>
      <c r="K54" s="92">
        <v>5</v>
      </c>
      <c r="L54" s="65">
        <f>K54/10</f>
        <v>0.5</v>
      </c>
      <c r="M54" s="92">
        <v>81.8</v>
      </c>
      <c r="Q54" s="74">
        <v>3</v>
      </c>
      <c r="R54" s="84">
        <f t="shared" si="8"/>
        <v>0.6</v>
      </c>
      <c r="S54" s="70">
        <v>5</v>
      </c>
      <c r="T54" s="295">
        <f t="shared" si="9"/>
        <v>1</v>
      </c>
    </row>
    <row r="55" spans="1:20" ht="15">
      <c r="A55" s="590"/>
      <c r="B55" s="5">
        <v>3</v>
      </c>
      <c r="C55" s="5" t="s">
        <v>2</v>
      </c>
      <c r="D55" s="5">
        <v>16</v>
      </c>
      <c r="E55" s="7">
        <f>D55/27</f>
        <v>0.5925925925925926</v>
      </c>
      <c r="F55" s="90">
        <f>1115/D55</f>
        <v>69.6875</v>
      </c>
      <c r="G55" s="138">
        <f>697/D55</f>
        <v>43.5625</v>
      </c>
      <c r="H55" s="137">
        <f t="shared" si="7"/>
        <v>0.7026209677419355</v>
      </c>
      <c r="I55" s="5">
        <v>0</v>
      </c>
      <c r="J55" s="12">
        <v>0</v>
      </c>
      <c r="K55" s="92">
        <v>14</v>
      </c>
      <c r="L55" s="48">
        <f>K55/18</f>
        <v>0.7777777777777778</v>
      </c>
      <c r="M55" s="94">
        <f>(1115-80-90)/14</f>
        <v>67.5</v>
      </c>
      <c r="Q55" s="74">
        <v>5</v>
      </c>
      <c r="R55" s="84">
        <f t="shared" si="8"/>
        <v>0.3125</v>
      </c>
      <c r="S55" s="70">
        <v>10</v>
      </c>
      <c r="T55" s="295">
        <f t="shared" si="9"/>
        <v>0.625</v>
      </c>
    </row>
    <row r="56" spans="1:20" ht="15">
      <c r="A56" s="590"/>
      <c r="B56" s="5">
        <v>4</v>
      </c>
      <c r="C56" s="5" t="s">
        <v>3</v>
      </c>
      <c r="D56" s="5">
        <v>10</v>
      </c>
      <c r="E56" s="7">
        <f>D56/28</f>
        <v>0.35714285714285715</v>
      </c>
      <c r="F56" s="90">
        <f>616/D56</f>
        <v>61.6</v>
      </c>
      <c r="G56" s="73">
        <f>378/D56</f>
        <v>37.8</v>
      </c>
      <c r="H56" s="137">
        <f t="shared" si="7"/>
        <v>0.6096774193548387</v>
      </c>
      <c r="I56" s="5">
        <v>1</v>
      </c>
      <c r="J56" s="12">
        <f>I56/D56</f>
        <v>0.1</v>
      </c>
      <c r="K56" s="92">
        <v>9</v>
      </c>
      <c r="L56" s="65">
        <f>K56/12</f>
        <v>0.75</v>
      </c>
      <c r="M56" s="94">
        <f>(616-72)/K56</f>
        <v>60.44444444444444</v>
      </c>
      <c r="N56" s="601"/>
      <c r="O56" s="589"/>
      <c r="P56" s="589"/>
      <c r="Q56" s="74">
        <v>0</v>
      </c>
      <c r="R56" s="84">
        <f t="shared" si="8"/>
        <v>0</v>
      </c>
      <c r="S56" s="70">
        <v>6</v>
      </c>
      <c r="T56" s="63">
        <f t="shared" si="9"/>
        <v>0.6</v>
      </c>
    </row>
    <row r="57" spans="1:20" ht="45">
      <c r="A57" s="590"/>
      <c r="B57" s="5">
        <v>5</v>
      </c>
      <c r="C57" s="5" t="s">
        <v>4</v>
      </c>
      <c r="D57" s="5">
        <v>1</v>
      </c>
      <c r="E57" s="7">
        <f>D57/2</f>
        <v>0.5</v>
      </c>
      <c r="F57" s="90">
        <v>63</v>
      </c>
      <c r="G57" s="73">
        <v>39</v>
      </c>
      <c r="H57" s="137">
        <f t="shared" si="7"/>
        <v>0.6290322580645161</v>
      </c>
      <c r="I57" s="5">
        <v>0</v>
      </c>
      <c r="J57" s="12">
        <v>0</v>
      </c>
      <c r="K57" s="92">
        <v>0</v>
      </c>
      <c r="L57" s="92">
        <v>0</v>
      </c>
      <c r="M57" s="92">
        <v>0</v>
      </c>
      <c r="Q57" s="74">
        <v>0</v>
      </c>
      <c r="R57" s="65">
        <f t="shared" si="8"/>
        <v>0</v>
      </c>
      <c r="S57" s="70">
        <v>1</v>
      </c>
      <c r="T57" s="63">
        <f t="shared" si="9"/>
        <v>1</v>
      </c>
    </row>
    <row r="58" spans="1:20" ht="45">
      <c r="A58" s="590"/>
      <c r="B58" s="5">
        <v>6</v>
      </c>
      <c r="C58" s="5" t="s">
        <v>5</v>
      </c>
      <c r="D58" s="5">
        <v>2</v>
      </c>
      <c r="E58" s="7">
        <f>D58/5</f>
        <v>0.4</v>
      </c>
      <c r="F58" s="90">
        <f>116/D58</f>
        <v>58</v>
      </c>
      <c r="G58" s="73">
        <f>68/D58</f>
        <v>34</v>
      </c>
      <c r="H58" s="137">
        <f t="shared" si="7"/>
        <v>0.5483870967741935</v>
      </c>
      <c r="I58" s="5">
        <v>0</v>
      </c>
      <c r="J58" s="12">
        <v>0</v>
      </c>
      <c r="K58" s="92">
        <v>0</v>
      </c>
      <c r="L58" s="92">
        <v>0</v>
      </c>
      <c r="M58" s="92">
        <v>0</v>
      </c>
      <c r="Q58" s="74">
        <v>0</v>
      </c>
      <c r="R58" s="65">
        <f t="shared" si="8"/>
        <v>0</v>
      </c>
      <c r="S58" s="70">
        <v>1</v>
      </c>
      <c r="T58" s="63">
        <f t="shared" si="9"/>
        <v>0.5</v>
      </c>
    </row>
    <row r="59" spans="1:20" ht="15">
      <c r="A59" s="590"/>
      <c r="B59" s="6"/>
      <c r="C59" s="6" t="s">
        <v>6</v>
      </c>
      <c r="D59" s="6">
        <f>SUM(D53:D58)</f>
        <v>45</v>
      </c>
      <c r="E59" s="10">
        <f>D59/107</f>
        <v>0.4205607476635514</v>
      </c>
      <c r="F59" s="67">
        <f>3055/D59</f>
        <v>67.88888888888889</v>
      </c>
      <c r="G59" s="67">
        <f>1904/D59</f>
        <v>42.31111111111111</v>
      </c>
      <c r="H59" s="13">
        <f>1904/(D59*62)</f>
        <v>0.6824372759856631</v>
      </c>
      <c r="I59" s="6">
        <v>1</v>
      </c>
      <c r="J59" s="13">
        <f>I59/D59</f>
        <v>0.022222222222222223</v>
      </c>
      <c r="K59" s="50">
        <f>SUM(K53:K58)</f>
        <v>39</v>
      </c>
      <c r="L59" s="83">
        <f>K59/53</f>
        <v>0.7358490566037735</v>
      </c>
      <c r="M59" s="149">
        <f>2637/K59</f>
        <v>67.61538461538461</v>
      </c>
      <c r="N59" s="4"/>
      <c r="O59" s="4"/>
      <c r="P59" s="4"/>
      <c r="Q59" s="50">
        <f>SUM(Q53:Q58)</f>
        <v>10</v>
      </c>
      <c r="R59" s="83">
        <f t="shared" si="8"/>
        <v>0.2222222222222222</v>
      </c>
      <c r="S59" s="269">
        <v>30</v>
      </c>
      <c r="T59" s="295">
        <f t="shared" si="9"/>
        <v>0.6666666666666666</v>
      </c>
    </row>
    <row r="60" spans="1:20" ht="15">
      <c r="A60" s="590"/>
      <c r="B60" s="6"/>
      <c r="C60" s="6" t="s">
        <v>22</v>
      </c>
      <c r="D60" s="6"/>
      <c r="E60" s="6"/>
      <c r="F60" s="67">
        <v>61.89</v>
      </c>
      <c r="G60" s="6"/>
      <c r="H60" s="6"/>
      <c r="I60" s="6"/>
      <c r="J60" s="6"/>
      <c r="K60" s="50"/>
      <c r="L60" s="50"/>
      <c r="M60" s="50"/>
      <c r="N60" s="22"/>
      <c r="O60" s="22"/>
      <c r="P60" s="22"/>
      <c r="Q60" s="50"/>
      <c r="R60" s="66">
        <v>0.0864</v>
      </c>
      <c r="S60" s="296"/>
      <c r="T60" s="298">
        <v>0.4956</v>
      </c>
    </row>
    <row r="62" ht="15">
      <c r="D62" s="89"/>
    </row>
    <row r="63" ht="15">
      <c r="D63" s="89"/>
    </row>
    <row r="64" ht="15">
      <c r="D64" s="89"/>
    </row>
    <row r="65" ht="15">
      <c r="D65" s="89"/>
    </row>
    <row r="66" ht="15">
      <c r="D66" s="89"/>
    </row>
    <row r="67" ht="15">
      <c r="D67" s="89"/>
    </row>
    <row r="68" ht="15">
      <c r="D68" s="13"/>
    </row>
    <row r="69" ht="15">
      <c r="D69" s="13"/>
    </row>
  </sheetData>
  <sheetProtection/>
  <mergeCells count="56">
    <mergeCell ref="U2:V2"/>
    <mergeCell ref="Q2:R2"/>
    <mergeCell ref="S2:T2"/>
    <mergeCell ref="N7:P7"/>
    <mergeCell ref="B1:N1"/>
    <mergeCell ref="A2:A11"/>
    <mergeCell ref="D2:E2"/>
    <mergeCell ref="F2:F3"/>
    <mergeCell ref="G2:G3"/>
    <mergeCell ref="H2:H3"/>
    <mergeCell ref="I2:J2"/>
    <mergeCell ref="K2:M2"/>
    <mergeCell ref="Q15:R15"/>
    <mergeCell ref="S15:T15"/>
    <mergeCell ref="N20:P20"/>
    <mergeCell ref="B14:N14"/>
    <mergeCell ref="K15:M15"/>
    <mergeCell ref="A15:A24"/>
    <mergeCell ref="D15:E15"/>
    <mergeCell ref="F15:F16"/>
    <mergeCell ref="G15:G16"/>
    <mergeCell ref="H15:H16"/>
    <mergeCell ref="I15:J15"/>
    <mergeCell ref="N34:P34"/>
    <mergeCell ref="B28:N28"/>
    <mergeCell ref="A29:A38"/>
    <mergeCell ref="D29:E29"/>
    <mergeCell ref="F29:F30"/>
    <mergeCell ref="G29:G30"/>
    <mergeCell ref="H29:H30"/>
    <mergeCell ref="I29:J29"/>
    <mergeCell ref="K29:M29"/>
    <mergeCell ref="S51:T51"/>
    <mergeCell ref="G51:G52"/>
    <mergeCell ref="H51:H52"/>
    <mergeCell ref="U25:W25"/>
    <mergeCell ref="Q51:R51"/>
    <mergeCell ref="Q41:R41"/>
    <mergeCell ref="S41:T41"/>
    <mergeCell ref="I41:J41"/>
    <mergeCell ref="Q29:R29"/>
    <mergeCell ref="S29:T29"/>
    <mergeCell ref="N56:P56"/>
    <mergeCell ref="K41:M41"/>
    <mergeCell ref="B40:N40"/>
    <mergeCell ref="D51:E51"/>
    <mergeCell ref="F51:F52"/>
    <mergeCell ref="I51:J51"/>
    <mergeCell ref="K51:M51"/>
    <mergeCell ref="N46:P46"/>
    <mergeCell ref="A41:A50"/>
    <mergeCell ref="A51:A60"/>
    <mergeCell ref="D41:E41"/>
    <mergeCell ref="F41:F42"/>
    <mergeCell ref="G41:G42"/>
    <mergeCell ref="H41:H42"/>
  </mergeCells>
  <printOptions/>
  <pageMargins left="0.7" right="0.7" top="0.75" bottom="0.75" header="0.3" footer="0.3"/>
  <pageSetup horizontalDpi="600" verticalDpi="600" orientation="landscape" paperSize="9" scale="59" r:id="rId1"/>
  <rowBreaks count="4" manualBreakCount="4">
    <brk id="12" max="21" man="1"/>
    <brk id="38" max="21" man="1"/>
    <brk id="50" max="21" man="1"/>
    <brk id="6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Margarita</cp:lastModifiedBy>
  <cp:lastPrinted>2021-07-28T14:27:43Z</cp:lastPrinted>
  <dcterms:created xsi:type="dcterms:W3CDTF">2015-06-19T09:14:18Z</dcterms:created>
  <dcterms:modified xsi:type="dcterms:W3CDTF">2021-07-29T14:09:08Z</dcterms:modified>
  <cp:category/>
  <cp:version/>
  <cp:contentType/>
  <cp:contentStatus/>
</cp:coreProperties>
</file>